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autoCompressPictures="0"/>
  <bookViews>
    <workbookView xWindow="1545" yWindow="0" windowWidth="19440" windowHeight="15600" tabRatio="550"/>
  </bookViews>
  <sheets>
    <sheet name="READ THIS FIRST" sheetId="43" r:id="rId1"/>
    <sheet name="GDP" sheetId="22" r:id="rId2"/>
    <sheet name="Total Economic Value" sheetId="16" r:id="rId3"/>
    <sheet name="Forest sustainability balance" sheetId="15" r:id="rId4"/>
    <sheet name="Livelihoods" sheetId="19" r:id="rId5"/>
    <sheet name="National Accounts" sheetId="42" r:id="rId6"/>
    <sheet name="Acctg for plantations" sheetId="29" r:id="rId7"/>
    <sheet name="DoF Revenue summary" sheetId="24" r:id="rId8"/>
    <sheet name="DoF Revenue 2010-2011" sheetId="23" r:id="rId9"/>
    <sheet name="DoF Plantation production" sheetId="41" r:id="rId10"/>
    <sheet name="Forest businesses" sheetId="30" r:id="rId11"/>
    <sheet name="Watershed costs" sheetId="8" r:id="rId12"/>
    <sheet name="Hhold wood use for energy" sheetId="10" r:id="rId13"/>
    <sheet name="Fuelwood IHS tables" sheetId="28" r:id="rId14"/>
    <sheet name="Household fuelwood parameters" sheetId="11" r:id="rId15"/>
    <sheet name="Sources of gathered wood" sheetId="40" r:id="rId16"/>
    <sheet name="Other gathered products" sheetId="33" r:id="rId17"/>
    <sheet name="Charcoal quantity" sheetId="26" r:id="rId18"/>
    <sheet name="Charcoal expenditure IHS data" sheetId="34" r:id="rId19"/>
    <sheet name="Institutional-Indus. wood use" sheetId="38" r:id="rId20"/>
    <sheet name="Number of bricks" sheetId="37" r:id="rId21"/>
    <sheet name="Brick house age IHS data" sheetId="35" r:id="rId22"/>
    <sheet name="Tobacco curing" sheetId="36" r:id="rId23"/>
    <sheet name="DoF Personnel &amp; OC" sheetId="25" r:id="rId24"/>
    <sheet name="DoF Personnel Details" sheetId="39" r:id="rId25"/>
    <sheet name="Employment- hhold businesses" sheetId="31" r:id="rId26"/>
    <sheet name="Employment-Openshaw study" sheetId="20" r:id="rId27"/>
    <sheet name="Annual economic survey" sheetId="17" r:id="rId28"/>
    <sheet name="Tourism Data" sheetId="5" r:id="rId29"/>
    <sheet name="Protected Area Visitors" sheetId="7" r:id="rId30"/>
    <sheet name="Liwonde NP" sheetId="1" r:id="rId31"/>
    <sheet name="Lake Malawi" sheetId="2" r:id="rId32"/>
    <sheet name="Lengwe" sheetId="3" r:id="rId33"/>
    <sheet name="Nyika" sheetId="4" r:id="rId34"/>
    <sheet name="population parameters" sheetId="12" r:id="rId35"/>
    <sheet name="Exchange Rates" sheetId="6" r:id="rId36"/>
    <sheet name="References" sheetId="9" r:id="rId37"/>
  </sheets>
  <externalReferences>
    <externalReference r:id="rId38"/>
  </externalReferences>
  <definedNames>
    <definedName name="charcoalvol_hhold_year">'Charcoal quantity'!$D$29</definedName>
    <definedName name="dead_wood_accumulation">'Forest sustainability balance'!#REF!</definedName>
    <definedName name="hh_wood_exp_M" localSheetId="13">'[1]Household fuelwood use'!$N$45</definedName>
    <definedName name="hh_wood_exp_M">'Hhold wood use for energy'!$N$44</definedName>
    <definedName name="hh_wood_exp_Mmainfuel">'Hhold wood use for energy'!$T$50</definedName>
    <definedName name="hh_wood_exp_Mnotmain">'Hhold wood use for energy'!$X$50</definedName>
    <definedName name="hh_wood_exp_N" localSheetId="13">'[1]Household fuelwood use'!$N$46</definedName>
    <definedName name="hh_wood_exp_N">'Hhold wood use for energy'!$N$45</definedName>
    <definedName name="hhsize" localSheetId="13">'population parameters'!$B$8</definedName>
    <definedName name="hhsize">'population parameters'!$B$8</definedName>
    <definedName name="hhsize_c" localSheetId="13">'population parameters'!$D$8</definedName>
    <definedName name="hhsize_c">'population parameters'!$D$8</definedName>
    <definedName name="hhsize_n" localSheetId="13">'population parameters'!$C$8</definedName>
    <definedName name="hhsize_n">'population parameters'!$C$8</definedName>
    <definedName name="hhsize_s" localSheetId="13">'population parameters'!$E$8</definedName>
    <definedName name="hhsize_s">'population parameters'!$E$8</definedName>
    <definedName name="kg_per_m3_wood">'Household fuelwood parameters'!$B$55</definedName>
    <definedName name="price_fuelwood_kg">'Household fuelwood parameters'!$C$41</definedName>
    <definedName name="value_fuelwood_perhhold">'Household fuelwood parameters'!$B$39</definedName>
    <definedName name="weight_headload" localSheetId="13">'Household fuelwood parameters'!$B$18</definedName>
    <definedName name="weight_headload">'Household fuelwood parameters'!$B$18</definedName>
    <definedName name="woodvol_hhold_year" localSheetId="13">'Household fuelwood parameters'!$C$74</definedName>
    <definedName name="woodvol_hhold_year">'Household fuelwood parameters'!$C$65</definedName>
    <definedName name="woodwgt_hhold_year">'Household fuelwood parameters'!$B$33</definedName>
    <definedName name="xr_2010" localSheetId="13">'Exchange Rates'!$I$30</definedName>
    <definedName name="xr_2010">'Exchange Rates'!$I$30</definedName>
    <definedName name="XR_2011" localSheetId="13">'Exchange Rates'!$I$18</definedName>
    <definedName name="XR_2011">'Exchange Rates'!$I$18</definedName>
    <definedName name="xr_2012" localSheetId="13">'Exchange Rates'!$I$6</definedName>
    <definedName name="xr_2012">'Exchange Rates'!$I$6</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H30" i="6" l="1"/>
  <c r="H31" i="6"/>
  <c r="H32" i="6"/>
  <c r="H33" i="6"/>
  <c r="H34" i="6"/>
  <c r="H35" i="6"/>
  <c r="H36" i="6"/>
  <c r="H37" i="6"/>
  <c r="H38" i="6"/>
  <c r="H39" i="6"/>
  <c r="H40" i="6"/>
  <c r="H41" i="6"/>
  <c r="I30" i="6"/>
  <c r="H11" i="19"/>
  <c r="L43" i="40"/>
  <c r="C28" i="10"/>
  <c r="D11" i="19"/>
  <c r="B11" i="19"/>
  <c r="E11" i="19"/>
  <c r="G11" i="19"/>
  <c r="I93" i="15"/>
  <c r="I94" i="15"/>
  <c r="I95" i="15"/>
  <c r="I96" i="15"/>
  <c r="I97" i="15"/>
  <c r="I88" i="15"/>
  <c r="I91" i="15"/>
  <c r="I90" i="15"/>
  <c r="L88" i="15"/>
  <c r="E11" i="38"/>
  <c r="E7" i="41"/>
  <c r="D7" i="41"/>
  <c r="E9" i="41"/>
  <c r="D9" i="41"/>
  <c r="E11" i="41"/>
  <c r="D11" i="41"/>
  <c r="E13" i="41"/>
  <c r="D13" i="41"/>
  <c r="E15" i="41"/>
  <c r="D15" i="41"/>
  <c r="E17" i="41"/>
  <c r="D17" i="41"/>
  <c r="E19" i="41"/>
  <c r="D19" i="41"/>
  <c r="E21" i="41"/>
  <c r="D21" i="41"/>
  <c r="E23" i="41"/>
  <c r="D23" i="41"/>
  <c r="E25" i="41"/>
  <c r="D25" i="41"/>
  <c r="E27" i="41"/>
  <c r="D27" i="41"/>
  <c r="E29" i="41"/>
  <c r="D29" i="41"/>
  <c r="D33" i="41"/>
  <c r="B78" i="15"/>
  <c r="B12" i="38"/>
  <c r="B5" i="38"/>
  <c r="B6" i="38"/>
  <c r="B7" i="38"/>
  <c r="Q27" i="35"/>
  <c r="J21" i="37"/>
  <c r="J9" i="37"/>
  <c r="B31" i="37"/>
  <c r="B32" i="37"/>
  <c r="B34" i="37"/>
  <c r="K6" i="37"/>
  <c r="K9" i="37"/>
  <c r="J10" i="37"/>
  <c r="K10" i="37"/>
  <c r="J11" i="37"/>
  <c r="K11" i="37"/>
  <c r="J12" i="37"/>
  <c r="K12" i="37"/>
  <c r="J13" i="37"/>
  <c r="K13" i="37"/>
  <c r="J14" i="37"/>
  <c r="K14" i="37"/>
  <c r="J15" i="37"/>
  <c r="F34" i="37"/>
  <c r="F28" i="37"/>
  <c r="F30" i="37"/>
  <c r="F31" i="37"/>
  <c r="F32" i="37"/>
  <c r="F33" i="37"/>
  <c r="F35" i="37"/>
  <c r="K15" i="37"/>
  <c r="J16" i="37"/>
  <c r="G27" i="37"/>
  <c r="G34" i="37"/>
  <c r="G28" i="37"/>
  <c r="G30" i="37"/>
  <c r="G31" i="37"/>
  <c r="G32" i="37"/>
  <c r="G33" i="37"/>
  <c r="G35" i="37"/>
  <c r="K16" i="37"/>
  <c r="J17" i="37"/>
  <c r="H27" i="37"/>
  <c r="H34" i="37"/>
  <c r="H28" i="37"/>
  <c r="H30" i="37"/>
  <c r="H31" i="37"/>
  <c r="H32" i="37"/>
  <c r="H33" i="37"/>
  <c r="H35" i="37"/>
  <c r="K17" i="37"/>
  <c r="J18" i="37"/>
  <c r="I27" i="37"/>
  <c r="J27" i="37"/>
  <c r="J34" i="37"/>
  <c r="J28" i="37"/>
  <c r="J30" i="37"/>
  <c r="J31" i="37"/>
  <c r="J32" i="37"/>
  <c r="J33" i="37"/>
  <c r="J35" i="37"/>
  <c r="K18" i="37"/>
  <c r="J19" i="37"/>
  <c r="K27" i="37"/>
  <c r="L27" i="37"/>
  <c r="L34" i="37"/>
  <c r="L28" i="37"/>
  <c r="L30" i="37"/>
  <c r="L31" i="37"/>
  <c r="L32" i="37"/>
  <c r="L33" i="37"/>
  <c r="L35" i="37"/>
  <c r="K19" i="37"/>
  <c r="J20" i="37"/>
  <c r="M27" i="37"/>
  <c r="N27" i="37"/>
  <c r="N34" i="37"/>
  <c r="N28" i="37"/>
  <c r="N30" i="37"/>
  <c r="N31" i="37"/>
  <c r="N32" i="37"/>
  <c r="N33" i="37"/>
  <c r="N35" i="37"/>
  <c r="K20" i="37"/>
  <c r="K21" i="37"/>
  <c r="B26" i="38"/>
  <c r="B27" i="38"/>
  <c r="B8" i="38"/>
  <c r="B9" i="38"/>
  <c r="B3" i="36"/>
  <c r="D3" i="36"/>
  <c r="B4" i="36"/>
  <c r="D4" i="36"/>
  <c r="D5" i="36"/>
  <c r="B10" i="38"/>
  <c r="B11" i="38"/>
  <c r="B13" i="38"/>
  <c r="E10" i="38"/>
  <c r="D55" i="15"/>
  <c r="B52" i="15"/>
  <c r="H12" i="19"/>
  <c r="H13" i="19"/>
  <c r="U21" i="15"/>
  <c r="T43" i="42"/>
  <c r="F28" i="42"/>
  <c r="E20" i="22"/>
  <c r="O20" i="23"/>
  <c r="O27" i="23"/>
  <c r="O38" i="23"/>
  <c r="O52" i="23"/>
  <c r="O63" i="23"/>
  <c r="B11" i="24"/>
  <c r="O18" i="23"/>
  <c r="O26" i="23"/>
  <c r="O37" i="23"/>
  <c r="O51" i="23"/>
  <c r="O62" i="23"/>
  <c r="B8" i="24"/>
  <c r="O59" i="23"/>
  <c r="B16" i="24"/>
  <c r="B6" i="22"/>
  <c r="O17" i="23"/>
  <c r="O24" i="23"/>
  <c r="O36" i="23"/>
  <c r="O60" i="23"/>
  <c r="B18" i="24"/>
  <c r="B9" i="22"/>
  <c r="B10" i="22"/>
  <c r="B5" i="10"/>
  <c r="X50" i="10"/>
  <c r="C5" i="10"/>
  <c r="B4" i="10"/>
  <c r="T50" i="10"/>
  <c r="C4" i="10"/>
  <c r="C6" i="10"/>
  <c r="C29" i="10"/>
  <c r="B11" i="22"/>
  <c r="F13" i="30"/>
  <c r="B14" i="22"/>
  <c r="E13" i="38"/>
  <c r="E12" i="38"/>
  <c r="E14" i="38"/>
  <c r="B15" i="22"/>
  <c r="B10" i="33"/>
  <c r="B16" i="22"/>
  <c r="B14" i="33"/>
  <c r="B17" i="22"/>
  <c r="B18" i="22"/>
  <c r="F18" i="22"/>
  <c r="F8" i="42"/>
  <c r="E18" i="22"/>
  <c r="F20" i="22"/>
  <c r="F19" i="22"/>
  <c r="E33" i="42"/>
  <c r="E19" i="22"/>
  <c r="F27" i="42"/>
  <c r="F26" i="42"/>
  <c r="F25" i="42"/>
  <c r="F24" i="42"/>
  <c r="F23" i="42"/>
  <c r="F22" i="42"/>
  <c r="F21" i="42"/>
  <c r="F20" i="42"/>
  <c r="F19" i="42"/>
  <c r="F18" i="42"/>
  <c r="F17" i="42"/>
  <c r="F16" i="42"/>
  <c r="F15" i="42"/>
  <c r="F14" i="42"/>
  <c r="F13" i="42"/>
  <c r="F12" i="42"/>
  <c r="F11" i="42"/>
  <c r="F10" i="42"/>
  <c r="F9" i="42"/>
  <c r="F7" i="42"/>
  <c r="F6" i="42"/>
  <c r="E53" i="42"/>
  <c r="D53" i="42"/>
  <c r="C53" i="42"/>
  <c r="B53" i="42"/>
  <c r="E52" i="42"/>
  <c r="D52" i="42"/>
  <c r="C52" i="42"/>
  <c r="B52" i="42"/>
  <c r="E51" i="42"/>
  <c r="D51" i="42"/>
  <c r="C51" i="42"/>
  <c r="B51" i="42"/>
  <c r="E50" i="42"/>
  <c r="D50" i="42"/>
  <c r="C50" i="42"/>
  <c r="B50" i="42"/>
  <c r="E49" i="42"/>
  <c r="D49" i="42"/>
  <c r="C49" i="42"/>
  <c r="B49" i="42"/>
  <c r="E48" i="42"/>
  <c r="D48" i="42"/>
  <c r="C48" i="42"/>
  <c r="B48" i="42"/>
  <c r="E47" i="42"/>
  <c r="D47" i="42"/>
  <c r="C47" i="42"/>
  <c r="B47" i="42"/>
  <c r="E46" i="42"/>
  <c r="D46" i="42"/>
  <c r="C46" i="42"/>
  <c r="B46" i="42"/>
  <c r="E45" i="42"/>
  <c r="D45" i="42"/>
  <c r="C45" i="42"/>
  <c r="B45" i="42"/>
  <c r="E44" i="42"/>
  <c r="D44" i="42"/>
  <c r="C44" i="42"/>
  <c r="B44" i="42"/>
  <c r="E43" i="42"/>
  <c r="D43" i="42"/>
  <c r="C43" i="42"/>
  <c r="B43" i="42"/>
  <c r="E42" i="42"/>
  <c r="D42" i="42"/>
  <c r="C42" i="42"/>
  <c r="B42" i="42"/>
  <c r="E41" i="42"/>
  <c r="D41" i="42"/>
  <c r="C41" i="42"/>
  <c r="B41" i="42"/>
  <c r="E40" i="42"/>
  <c r="D40" i="42"/>
  <c r="C40" i="42"/>
  <c r="B40" i="42"/>
  <c r="E39" i="42"/>
  <c r="D39" i="42"/>
  <c r="C39" i="42"/>
  <c r="B39" i="42"/>
  <c r="E38" i="42"/>
  <c r="D38" i="42"/>
  <c r="C38" i="42"/>
  <c r="B38" i="42"/>
  <c r="E37" i="42"/>
  <c r="D37" i="42"/>
  <c r="C37" i="42"/>
  <c r="B37" i="42"/>
  <c r="E36" i="42"/>
  <c r="D36" i="42"/>
  <c r="C36" i="42"/>
  <c r="B36" i="42"/>
  <c r="E35" i="42"/>
  <c r="D35" i="42"/>
  <c r="C35" i="42"/>
  <c r="B35" i="42"/>
  <c r="E34" i="42"/>
  <c r="D34" i="42"/>
  <c r="C34" i="42"/>
  <c r="B34" i="42"/>
  <c r="D33" i="42"/>
  <c r="C33" i="42"/>
  <c r="B33" i="42"/>
  <c r="E32" i="42"/>
  <c r="D32" i="42"/>
  <c r="C32" i="42"/>
  <c r="B32" i="42"/>
  <c r="E31" i="42"/>
  <c r="D31" i="42"/>
  <c r="C31" i="42"/>
  <c r="B31" i="42"/>
  <c r="G28" i="42"/>
  <c r="H28" i="42"/>
  <c r="H29" i="42"/>
  <c r="I29" i="42"/>
  <c r="C14" i="33"/>
  <c r="D14" i="33"/>
  <c r="D13" i="19"/>
  <c r="B13" i="19"/>
  <c r="E13" i="19"/>
  <c r="C10" i="33"/>
  <c r="D10" i="33"/>
  <c r="D12" i="19"/>
  <c r="B12" i="19"/>
  <c r="E12" i="19"/>
  <c r="D22" i="19"/>
  <c r="D23" i="19"/>
  <c r="D6" i="19"/>
  <c r="E104" i="31"/>
  <c r="F104" i="31"/>
  <c r="G104" i="31"/>
  <c r="H104" i="31"/>
  <c r="F29" i="19"/>
  <c r="E105" i="31"/>
  <c r="F105" i="31"/>
  <c r="G105" i="31"/>
  <c r="H105" i="31"/>
  <c r="F30" i="19"/>
  <c r="E106" i="31"/>
  <c r="F106" i="31"/>
  <c r="G106" i="31"/>
  <c r="H106" i="31"/>
  <c r="F31" i="19"/>
  <c r="E107" i="31"/>
  <c r="F107" i="31"/>
  <c r="G107" i="31"/>
  <c r="H107" i="31"/>
  <c r="F32" i="19"/>
  <c r="E108" i="31"/>
  <c r="F108" i="31"/>
  <c r="G108" i="31"/>
  <c r="H108" i="31"/>
  <c r="F33" i="19"/>
  <c r="E109" i="31"/>
  <c r="F109" i="31"/>
  <c r="G109" i="31"/>
  <c r="H109" i="31"/>
  <c r="F34" i="19"/>
  <c r="E110" i="31"/>
  <c r="F110" i="31"/>
  <c r="G110" i="31"/>
  <c r="H110" i="31"/>
  <c r="F35" i="19"/>
  <c r="E111" i="31"/>
  <c r="F111" i="31"/>
  <c r="G111" i="31"/>
  <c r="H111" i="31"/>
  <c r="F36" i="19"/>
  <c r="E112" i="31"/>
  <c r="F112" i="31"/>
  <c r="G112" i="31"/>
  <c r="H112" i="31"/>
  <c r="F37" i="19"/>
  <c r="E113" i="31"/>
  <c r="F113" i="31"/>
  <c r="G113" i="31"/>
  <c r="H113" i="31"/>
  <c r="F38" i="19"/>
  <c r="E114" i="31"/>
  <c r="F114" i="31"/>
  <c r="G114" i="31"/>
  <c r="H114" i="31"/>
  <c r="F39" i="19"/>
  <c r="F40" i="19"/>
  <c r="E94" i="31"/>
  <c r="F94" i="31"/>
  <c r="H33" i="19"/>
  <c r="E95" i="31"/>
  <c r="F95" i="31"/>
  <c r="H34" i="19"/>
  <c r="E96" i="31"/>
  <c r="F96" i="31"/>
  <c r="H35" i="19"/>
  <c r="E97" i="31"/>
  <c r="F97" i="31"/>
  <c r="F98" i="31"/>
  <c r="H37" i="19"/>
  <c r="H40" i="19"/>
  <c r="D7" i="19"/>
  <c r="F4" i="39"/>
  <c r="F5" i="39"/>
  <c r="D20" i="39"/>
  <c r="D57" i="39"/>
  <c r="F6" i="39"/>
  <c r="D25" i="39"/>
  <c r="D62" i="39"/>
  <c r="F7" i="39"/>
  <c r="D34" i="39"/>
  <c r="D69" i="39"/>
  <c r="F8" i="39"/>
  <c r="D38" i="39"/>
  <c r="D77" i="39"/>
  <c r="F9" i="39"/>
  <c r="F10" i="39"/>
  <c r="F11" i="39"/>
  <c r="D65" i="19"/>
  <c r="D79" i="39"/>
  <c r="D66" i="19"/>
  <c r="D42" i="39"/>
  <c r="D67" i="19"/>
  <c r="D68" i="19"/>
  <c r="D8" i="19"/>
  <c r="D9" i="19"/>
  <c r="C22" i="19"/>
  <c r="C23" i="19"/>
  <c r="C6" i="19"/>
  <c r="E51" i="31"/>
  <c r="F51" i="31"/>
  <c r="G51" i="31"/>
  <c r="E29" i="19"/>
  <c r="E52" i="31"/>
  <c r="F52" i="31"/>
  <c r="G52" i="31"/>
  <c r="E30" i="19"/>
  <c r="E53" i="31"/>
  <c r="F53" i="31"/>
  <c r="G53" i="31"/>
  <c r="E31" i="19"/>
  <c r="E54" i="31"/>
  <c r="F54" i="31"/>
  <c r="G54" i="31"/>
  <c r="E32" i="19"/>
  <c r="E55" i="31"/>
  <c r="F55" i="31"/>
  <c r="G55" i="31"/>
  <c r="E33" i="19"/>
  <c r="E56" i="31"/>
  <c r="F56" i="31"/>
  <c r="G56" i="31"/>
  <c r="E34" i="19"/>
  <c r="E57" i="31"/>
  <c r="F57" i="31"/>
  <c r="G57" i="31"/>
  <c r="E35" i="19"/>
  <c r="E58" i="31"/>
  <c r="F58" i="31"/>
  <c r="G58" i="31"/>
  <c r="E36" i="19"/>
  <c r="E59" i="31"/>
  <c r="F59" i="31"/>
  <c r="G59" i="31"/>
  <c r="E37" i="19"/>
  <c r="E60" i="31"/>
  <c r="F60" i="31"/>
  <c r="G60" i="31"/>
  <c r="E38" i="19"/>
  <c r="E61" i="31"/>
  <c r="F61" i="31"/>
  <c r="G61" i="31"/>
  <c r="E39" i="19"/>
  <c r="E40" i="19"/>
  <c r="E84" i="31"/>
  <c r="F84" i="31"/>
  <c r="G84" i="31"/>
  <c r="G33" i="19"/>
  <c r="E85" i="31"/>
  <c r="F85" i="31"/>
  <c r="G85" i="31"/>
  <c r="G34" i="19"/>
  <c r="E86" i="31"/>
  <c r="F86" i="31"/>
  <c r="G86" i="31"/>
  <c r="G35" i="19"/>
  <c r="E87" i="31"/>
  <c r="F87" i="31"/>
  <c r="G87" i="31"/>
  <c r="G88" i="31"/>
  <c r="G37" i="19"/>
  <c r="G40" i="19"/>
  <c r="C7" i="19"/>
  <c r="E4" i="39"/>
  <c r="E5" i="39"/>
  <c r="C20" i="39"/>
  <c r="C57" i="39"/>
  <c r="E6" i="39"/>
  <c r="C25" i="39"/>
  <c r="C62" i="39"/>
  <c r="E7" i="39"/>
  <c r="C34" i="39"/>
  <c r="C69" i="39"/>
  <c r="E8" i="39"/>
  <c r="C38" i="39"/>
  <c r="C77" i="39"/>
  <c r="E9" i="39"/>
  <c r="E10" i="39"/>
  <c r="E11" i="39"/>
  <c r="C65" i="19"/>
  <c r="C79" i="39"/>
  <c r="C66" i="19"/>
  <c r="C42" i="39"/>
  <c r="C67" i="19"/>
  <c r="C68" i="19"/>
  <c r="C8" i="19"/>
  <c r="C9" i="19"/>
  <c r="E9" i="19"/>
  <c r="E8" i="19"/>
  <c r="E7" i="19"/>
  <c r="E6" i="19"/>
  <c r="F8" i="19"/>
  <c r="G8" i="19"/>
  <c r="F7" i="19"/>
  <c r="G7" i="19"/>
  <c r="F6" i="19"/>
  <c r="G6" i="19"/>
  <c r="F9" i="19"/>
  <c r="G9" i="19"/>
  <c r="D14" i="19"/>
  <c r="O7" i="23"/>
  <c r="B5" i="24"/>
  <c r="O25" i="23"/>
  <c r="O50" i="23"/>
  <c r="O61" i="23"/>
  <c r="B7" i="24"/>
  <c r="O10" i="23"/>
  <c r="B9" i="24"/>
  <c r="O44" i="23"/>
  <c r="B12" i="24"/>
  <c r="O13" i="23"/>
  <c r="O45" i="23"/>
  <c r="O57" i="23"/>
  <c r="B13" i="24"/>
  <c r="O5" i="23"/>
  <c r="O19" i="23"/>
  <c r="O30" i="23"/>
  <c r="O40" i="23"/>
  <c r="O66" i="23"/>
  <c r="B14" i="24"/>
  <c r="O6" i="23"/>
  <c r="O28" i="23"/>
  <c r="B15" i="24"/>
  <c r="O16" i="23"/>
  <c r="O35" i="23"/>
  <c r="O65" i="23"/>
  <c r="B17" i="24"/>
  <c r="O14" i="23"/>
  <c r="O34" i="23"/>
  <c r="O46" i="23"/>
  <c r="O58" i="23"/>
  <c r="B19" i="24"/>
  <c r="O49" i="23"/>
  <c r="B21" i="24"/>
  <c r="O21" i="23"/>
  <c r="O29" i="23"/>
  <c r="O39" i="23"/>
  <c r="O64" i="23"/>
  <c r="B25" i="24"/>
  <c r="B26" i="24"/>
  <c r="F30" i="16"/>
  <c r="C39" i="1"/>
  <c r="B16" i="7"/>
  <c r="C16" i="7"/>
  <c r="O5" i="3"/>
  <c r="D16" i="7"/>
  <c r="H16" i="7"/>
  <c r="D39" i="1"/>
  <c r="B17" i="7"/>
  <c r="H17" i="7"/>
  <c r="E39" i="1"/>
  <c r="B18" i="7"/>
  <c r="C18" i="7"/>
  <c r="O6" i="3"/>
  <c r="D18" i="7"/>
  <c r="H18" i="7"/>
  <c r="C19" i="7"/>
  <c r="O8" i="3"/>
  <c r="D19" i="7"/>
  <c r="H19" i="7"/>
  <c r="O7" i="3"/>
  <c r="D20" i="7"/>
  <c r="H20" i="7"/>
  <c r="O9" i="3"/>
  <c r="D21" i="7"/>
  <c r="H21" i="7"/>
  <c r="B39" i="1"/>
  <c r="B12" i="7"/>
  <c r="B21" i="2"/>
  <c r="B22" i="2"/>
  <c r="C21" i="2"/>
  <c r="C22" i="2"/>
  <c r="C12" i="7"/>
  <c r="O4" i="3"/>
  <c r="D12" i="7"/>
  <c r="N15" i="4"/>
  <c r="E12" i="7"/>
  <c r="F11" i="7"/>
  <c r="C5" i="7"/>
  <c r="K13" i="7"/>
  <c r="C6" i="7"/>
  <c r="K15" i="7"/>
  <c r="C4" i="7"/>
  <c r="L15" i="7"/>
  <c r="F12" i="7"/>
  <c r="H12" i="7"/>
  <c r="H22" i="7"/>
  <c r="F31" i="16"/>
  <c r="B11" i="7"/>
  <c r="C11" i="7"/>
  <c r="H6" i="6"/>
  <c r="H7" i="6"/>
  <c r="H8" i="6"/>
  <c r="H9" i="6"/>
  <c r="H10" i="6"/>
  <c r="H11" i="6"/>
  <c r="H12" i="6"/>
  <c r="H13" i="6"/>
  <c r="H14" i="6"/>
  <c r="H15" i="6"/>
  <c r="H16" i="6"/>
  <c r="H17" i="6"/>
  <c r="I6" i="6"/>
  <c r="E6" i="7"/>
  <c r="D11" i="7"/>
  <c r="N6" i="4"/>
  <c r="E11" i="7"/>
  <c r="H11" i="7"/>
  <c r="B31" i="5"/>
  <c r="B32" i="5"/>
  <c r="Y80" i="5"/>
  <c r="B24" i="5"/>
  <c r="B18" i="5"/>
  <c r="D18" i="5"/>
  <c r="E18" i="5"/>
  <c r="B25" i="5"/>
  <c r="B26" i="5"/>
  <c r="B27" i="5"/>
  <c r="B33" i="5"/>
  <c r="F32" i="16"/>
  <c r="B9" i="8"/>
  <c r="F33" i="16"/>
  <c r="E25" i="16"/>
  <c r="F11" i="25"/>
  <c r="F19" i="25"/>
  <c r="F27" i="25"/>
  <c r="F35" i="25"/>
  <c r="F44" i="25"/>
  <c r="F51" i="25"/>
  <c r="F59" i="25"/>
  <c r="F62" i="25"/>
  <c r="E26" i="16"/>
  <c r="E27" i="16"/>
  <c r="F28" i="16"/>
  <c r="F21" i="16"/>
  <c r="F20" i="16"/>
  <c r="F22" i="16"/>
  <c r="D12" i="30"/>
  <c r="F7" i="16"/>
  <c r="E13" i="30"/>
  <c r="F8" i="16"/>
  <c r="D14" i="30"/>
  <c r="F9" i="16"/>
  <c r="D15" i="30"/>
  <c r="F10" i="16"/>
  <c r="D16" i="30"/>
  <c r="F11" i="16"/>
  <c r="D17" i="30"/>
  <c r="F12" i="16"/>
  <c r="D18" i="30"/>
  <c r="F13" i="16"/>
  <c r="D19" i="30"/>
  <c r="F14" i="16"/>
  <c r="D20" i="30"/>
  <c r="F15" i="16"/>
  <c r="D21" i="30"/>
  <c r="F16" i="16"/>
  <c r="D22" i="30"/>
  <c r="F17" i="16"/>
  <c r="F18" i="16"/>
  <c r="B85" i="15"/>
  <c r="C185" i="28"/>
  <c r="D5" i="10"/>
  <c r="C169" i="28"/>
  <c r="D169" i="28"/>
  <c r="E169" i="28"/>
  <c r="F169" i="28"/>
  <c r="G169" i="28"/>
  <c r="H169" i="28"/>
  <c r="I169" i="28"/>
  <c r="C168" i="28"/>
  <c r="D168" i="28"/>
  <c r="E168" i="28"/>
  <c r="F168" i="28"/>
  <c r="G168" i="28"/>
  <c r="H168" i="28"/>
  <c r="I168" i="28"/>
  <c r="I170" i="28"/>
  <c r="M45" i="10"/>
  <c r="N45" i="10"/>
  <c r="M44" i="10"/>
  <c r="N44" i="10"/>
  <c r="L52" i="10"/>
  <c r="N56" i="10"/>
  <c r="E5" i="10"/>
  <c r="C14" i="28"/>
  <c r="D14" i="28"/>
  <c r="D4" i="10"/>
  <c r="L50" i="10"/>
  <c r="M56" i="10"/>
  <c r="E4" i="10"/>
  <c r="B19" i="11"/>
  <c r="B17" i="11"/>
  <c r="C17" i="11"/>
  <c r="D17" i="11"/>
  <c r="E17" i="11"/>
  <c r="B18" i="11"/>
  <c r="B20" i="11"/>
  <c r="B28" i="11"/>
  <c r="H10" i="11"/>
  <c r="B29" i="11"/>
  <c r="B5" i="12"/>
  <c r="B6" i="12"/>
  <c r="B8" i="12"/>
  <c r="I14" i="11"/>
  <c r="B30" i="11"/>
  <c r="H21" i="11"/>
  <c r="H22" i="11"/>
  <c r="B31" i="11"/>
  <c r="E12" i="40"/>
  <c r="K12" i="40"/>
  <c r="M12" i="40"/>
  <c r="E32" i="10"/>
  <c r="B72" i="15"/>
  <c r="B71" i="15"/>
  <c r="B54" i="15"/>
  <c r="C54" i="15"/>
  <c r="B57" i="15"/>
  <c r="B31" i="15"/>
  <c r="C57" i="15"/>
  <c r="B60" i="15"/>
  <c r="C60" i="15"/>
  <c r="C51" i="15"/>
  <c r="B74" i="15"/>
  <c r="B43" i="10"/>
  <c r="A9" i="26"/>
  <c r="C30" i="10"/>
  <c r="E8" i="41"/>
  <c r="D8" i="41"/>
  <c r="E10" i="41"/>
  <c r="D10" i="41"/>
  <c r="E12" i="41"/>
  <c r="D12" i="41"/>
  <c r="E14" i="41"/>
  <c r="D14" i="41"/>
  <c r="E16" i="41"/>
  <c r="D16" i="41"/>
  <c r="E18" i="41"/>
  <c r="D18" i="41"/>
  <c r="E20" i="41"/>
  <c r="D20" i="41"/>
  <c r="E22" i="41"/>
  <c r="D22" i="41"/>
  <c r="E24" i="41"/>
  <c r="D24" i="41"/>
  <c r="E26" i="41"/>
  <c r="D26" i="41"/>
  <c r="E28" i="41"/>
  <c r="D28" i="41"/>
  <c r="E30" i="41"/>
  <c r="D30" i="41"/>
  <c r="D34" i="41"/>
  <c r="B79" i="15"/>
  <c r="F12" i="30"/>
  <c r="F14" i="30"/>
  <c r="F15" i="30"/>
  <c r="F16" i="30"/>
  <c r="F17" i="30"/>
  <c r="F18" i="30"/>
  <c r="F19" i="30"/>
  <c r="F20" i="30"/>
  <c r="F21" i="30"/>
  <c r="F22" i="30"/>
  <c r="F23" i="30"/>
  <c r="B7" i="30"/>
  <c r="E12" i="30"/>
  <c r="E14" i="30"/>
  <c r="E15" i="30"/>
  <c r="E16" i="30"/>
  <c r="E17" i="30"/>
  <c r="E18" i="30"/>
  <c r="E19" i="30"/>
  <c r="E20" i="30"/>
  <c r="E21" i="30"/>
  <c r="E22" i="30"/>
  <c r="E23" i="30"/>
  <c r="B6" i="30"/>
  <c r="D13" i="30"/>
  <c r="D23" i="30"/>
  <c r="B5" i="30"/>
  <c r="D31" i="41"/>
  <c r="B80" i="15"/>
  <c r="H52" i="15"/>
  <c r="D52" i="15"/>
  <c r="E52" i="15"/>
  <c r="H51" i="15"/>
  <c r="H50" i="15"/>
  <c r="D51" i="15"/>
  <c r="H40" i="41"/>
  <c r="H7" i="41"/>
  <c r="H8" i="41"/>
  <c r="G9" i="41"/>
  <c r="H9" i="41"/>
  <c r="H10" i="41"/>
  <c r="H11" i="41"/>
  <c r="H12" i="41"/>
  <c r="H13" i="41"/>
  <c r="H14" i="41"/>
  <c r="H15" i="41"/>
  <c r="H16" i="41"/>
  <c r="H17" i="41"/>
  <c r="H19" i="41"/>
  <c r="H20" i="41"/>
  <c r="H21" i="41"/>
  <c r="H22" i="41"/>
  <c r="H23" i="41"/>
  <c r="H24" i="41"/>
  <c r="H25" i="41"/>
  <c r="H26" i="41"/>
  <c r="H27" i="41"/>
  <c r="H28" i="41"/>
  <c r="H29" i="41"/>
  <c r="H30" i="41"/>
  <c r="I42" i="41"/>
  <c r="I44" i="41"/>
  <c r="D35" i="41"/>
  <c r="E34" i="41"/>
  <c r="E33" i="41"/>
  <c r="E31" i="41"/>
  <c r="D61" i="15"/>
  <c r="E61" i="15"/>
  <c r="E81" i="15"/>
  <c r="D58" i="15"/>
  <c r="E58" i="15"/>
  <c r="D81" i="15"/>
  <c r="E55" i="15"/>
  <c r="C81" i="15"/>
  <c r="B81" i="15"/>
  <c r="D60" i="15"/>
  <c r="E60" i="15"/>
  <c r="D57" i="15"/>
  <c r="E57" i="15"/>
  <c r="D54" i="15"/>
  <c r="E54" i="15"/>
  <c r="E51" i="15"/>
  <c r="J169" i="28"/>
  <c r="K169" i="28"/>
  <c r="L169" i="28"/>
  <c r="M169" i="28"/>
  <c r="N169" i="28"/>
  <c r="O169" i="28"/>
  <c r="P169" i="28"/>
  <c r="Q169" i="28"/>
  <c r="R169" i="28"/>
  <c r="S169" i="28"/>
  <c r="T169" i="28"/>
  <c r="J168" i="28"/>
  <c r="K168" i="28"/>
  <c r="L168" i="28"/>
  <c r="M168" i="28"/>
  <c r="N168" i="28"/>
  <c r="O168" i="28"/>
  <c r="P168" i="28"/>
  <c r="Q168" i="28"/>
  <c r="R168" i="28"/>
  <c r="S168" i="28"/>
  <c r="T168" i="28"/>
  <c r="T170" i="28"/>
  <c r="M46" i="10"/>
  <c r="N46" i="10"/>
  <c r="M57" i="10"/>
  <c r="C196" i="28"/>
  <c r="F5" i="10"/>
  <c r="G5" i="10"/>
  <c r="C25" i="28"/>
  <c r="D25" i="28"/>
  <c r="F4" i="10"/>
  <c r="G4" i="10"/>
  <c r="U169" i="28"/>
  <c r="V169" i="28"/>
  <c r="W169" i="28"/>
  <c r="X169" i="28"/>
  <c r="Y169" i="28"/>
  <c r="Z169" i="28"/>
  <c r="AA169" i="28"/>
  <c r="AB169" i="28"/>
  <c r="AC169" i="28"/>
  <c r="AD169" i="28"/>
  <c r="AE169" i="28"/>
  <c r="AF169" i="28"/>
  <c r="AG169" i="28"/>
  <c r="AH169" i="28"/>
  <c r="AI169" i="28"/>
  <c r="AJ169" i="28"/>
  <c r="U168" i="28"/>
  <c r="V168" i="28"/>
  <c r="W168" i="28"/>
  <c r="X168" i="28"/>
  <c r="Y168" i="28"/>
  <c r="Z168" i="28"/>
  <c r="AA168" i="28"/>
  <c r="AB168" i="28"/>
  <c r="AC168" i="28"/>
  <c r="AD168" i="28"/>
  <c r="AE168" i="28"/>
  <c r="AF168" i="28"/>
  <c r="AG168" i="28"/>
  <c r="AH168" i="28"/>
  <c r="AI168" i="28"/>
  <c r="AJ168" i="28"/>
  <c r="AJ170" i="28"/>
  <c r="M47" i="10"/>
  <c r="N47" i="10"/>
  <c r="N58" i="10"/>
  <c r="C212" i="28"/>
  <c r="H5" i="10"/>
  <c r="I5" i="10"/>
  <c r="M58" i="10"/>
  <c r="C41" i="28"/>
  <c r="D41" i="28"/>
  <c r="H4" i="10"/>
  <c r="I4" i="10"/>
  <c r="H6" i="10"/>
  <c r="F6" i="10"/>
  <c r="D6" i="10"/>
  <c r="J6" i="10"/>
  <c r="J5" i="10"/>
  <c r="J4" i="10"/>
  <c r="H14" i="28"/>
  <c r="D43" i="10"/>
  <c r="H25" i="28"/>
  <c r="F43" i="10"/>
  <c r="H41" i="28"/>
  <c r="H43" i="10"/>
  <c r="E6" i="10"/>
  <c r="L12" i="40"/>
  <c r="E27" i="10"/>
  <c r="G6" i="10"/>
  <c r="K24" i="40"/>
  <c r="L24" i="40"/>
  <c r="G27" i="10"/>
  <c r="E24" i="40"/>
  <c r="M24" i="40"/>
  <c r="G32" i="10"/>
  <c r="I6" i="10"/>
  <c r="K41" i="40"/>
  <c r="L41" i="40"/>
  <c r="I27" i="10"/>
  <c r="E41" i="40"/>
  <c r="M41" i="40"/>
  <c r="I32" i="10"/>
  <c r="C9" i="12"/>
  <c r="C71" i="15"/>
  <c r="C72" i="15"/>
  <c r="C74" i="15"/>
  <c r="D9" i="12"/>
  <c r="D71" i="15"/>
  <c r="D72" i="15"/>
  <c r="D74" i="15"/>
  <c r="E9" i="12"/>
  <c r="E71" i="15"/>
  <c r="E72" i="15"/>
  <c r="E74" i="15"/>
  <c r="C27" i="10"/>
  <c r="I86" i="31"/>
  <c r="J86" i="31"/>
  <c r="I85" i="31"/>
  <c r="J85" i="31"/>
  <c r="I84" i="31"/>
  <c r="J84" i="31"/>
  <c r="I87" i="31"/>
  <c r="F41" i="40"/>
  <c r="I33" i="10"/>
  <c r="F24" i="40"/>
  <c r="G33" i="10"/>
  <c r="F12" i="40"/>
  <c r="E33" i="10"/>
  <c r="F43" i="40"/>
  <c r="C33" i="10"/>
  <c r="F40" i="40"/>
  <c r="F39" i="40"/>
  <c r="F38" i="40"/>
  <c r="F37" i="40"/>
  <c r="F36" i="40"/>
  <c r="F35" i="40"/>
  <c r="F34" i="40"/>
  <c r="F33" i="40"/>
  <c r="F32" i="40"/>
  <c r="F31" i="40"/>
  <c r="F30" i="40"/>
  <c r="F29" i="40"/>
  <c r="F28" i="40"/>
  <c r="F27" i="40"/>
  <c r="F26" i="40"/>
  <c r="F23" i="40"/>
  <c r="F22" i="40"/>
  <c r="F21" i="40"/>
  <c r="F20" i="40"/>
  <c r="F19" i="40"/>
  <c r="F18" i="40"/>
  <c r="F17" i="40"/>
  <c r="F16" i="40"/>
  <c r="F15" i="40"/>
  <c r="F14" i="40"/>
  <c r="F11" i="40"/>
  <c r="F10" i="40"/>
  <c r="F9" i="40"/>
  <c r="F8" i="40"/>
  <c r="F7" i="40"/>
  <c r="F6" i="40"/>
  <c r="M43" i="40"/>
  <c r="C32" i="10"/>
  <c r="I28" i="10"/>
  <c r="G28" i="10"/>
  <c r="E28" i="10"/>
  <c r="L40" i="40"/>
  <c r="L39" i="40"/>
  <c r="L38" i="40"/>
  <c r="L37" i="40"/>
  <c r="L36" i="40"/>
  <c r="L35" i="40"/>
  <c r="L34" i="40"/>
  <c r="L33" i="40"/>
  <c r="L32" i="40"/>
  <c r="L31" i="40"/>
  <c r="L30" i="40"/>
  <c r="L29" i="40"/>
  <c r="L28" i="40"/>
  <c r="L27" i="40"/>
  <c r="L26" i="40"/>
  <c r="L23" i="40"/>
  <c r="L22" i="40"/>
  <c r="L21" i="40"/>
  <c r="L20" i="40"/>
  <c r="L19" i="40"/>
  <c r="L18" i="40"/>
  <c r="L17" i="40"/>
  <c r="L16" i="40"/>
  <c r="L15" i="40"/>
  <c r="L14" i="40"/>
  <c r="L11" i="40"/>
  <c r="L10" i="40"/>
  <c r="L9" i="40"/>
  <c r="L8" i="40"/>
  <c r="L7" i="40"/>
  <c r="L6" i="40"/>
  <c r="E44" i="40"/>
  <c r="K44" i="40"/>
  <c r="M44" i="40"/>
  <c r="J41" i="40"/>
  <c r="J24" i="40"/>
  <c r="J12" i="40"/>
  <c r="J44" i="40"/>
  <c r="D41" i="40"/>
  <c r="D24" i="40"/>
  <c r="D12" i="40"/>
  <c r="D44" i="40"/>
  <c r="V8" i="40"/>
  <c r="M39" i="40"/>
  <c r="M40" i="40"/>
  <c r="M38" i="40"/>
  <c r="M37" i="40"/>
  <c r="M36" i="40"/>
  <c r="M35" i="40"/>
  <c r="M34" i="40"/>
  <c r="M33" i="40"/>
  <c r="M32" i="40"/>
  <c r="M31" i="40"/>
  <c r="M30" i="40"/>
  <c r="M29" i="40"/>
  <c r="M28" i="40"/>
  <c r="M27" i="40"/>
  <c r="M26" i="40"/>
  <c r="M23" i="40"/>
  <c r="M22" i="40"/>
  <c r="M21" i="40"/>
  <c r="M20" i="40"/>
  <c r="M19" i="40"/>
  <c r="M18" i="40"/>
  <c r="M17" i="40"/>
  <c r="M16" i="40"/>
  <c r="M15" i="40"/>
  <c r="M14" i="40"/>
  <c r="M11" i="40"/>
  <c r="M10" i="40"/>
  <c r="M9" i="40"/>
  <c r="M8" i="40"/>
  <c r="M7" i="40"/>
  <c r="M6" i="40"/>
  <c r="C11" i="39"/>
  <c r="D11" i="39"/>
  <c r="J8" i="37"/>
  <c r="K8" i="37"/>
  <c r="J22" i="37"/>
  <c r="I28" i="37"/>
  <c r="K28" i="37"/>
  <c r="M28" i="37"/>
  <c r="I30" i="37"/>
  <c r="K30" i="37"/>
  <c r="M30" i="37"/>
  <c r="I31" i="37"/>
  <c r="K31" i="37"/>
  <c r="M31" i="37"/>
  <c r="I32" i="37"/>
  <c r="K32" i="37"/>
  <c r="M32" i="37"/>
  <c r="I33" i="37"/>
  <c r="K33" i="37"/>
  <c r="M33" i="37"/>
  <c r="I34" i="37"/>
  <c r="K34" i="37"/>
  <c r="M34" i="37"/>
  <c r="I35" i="37"/>
  <c r="K35" i="37"/>
  <c r="M35" i="37"/>
  <c r="B5" i="36"/>
  <c r="R21" i="35"/>
  <c r="S21" i="35"/>
  <c r="T21" i="35"/>
  <c r="U21" i="35"/>
  <c r="V21" i="35"/>
  <c r="W21" i="35"/>
  <c r="X21" i="35"/>
  <c r="Y21" i="35"/>
  <c r="Z21" i="35"/>
  <c r="AA21" i="35"/>
  <c r="AB21" i="35"/>
  <c r="AC21" i="35"/>
  <c r="AD21" i="35"/>
  <c r="AE21" i="35"/>
  <c r="R22" i="35"/>
  <c r="S22" i="35"/>
  <c r="T22" i="35"/>
  <c r="U22" i="35"/>
  <c r="V22" i="35"/>
  <c r="W22" i="35"/>
  <c r="X22" i="35"/>
  <c r="Y22" i="35"/>
  <c r="Z22" i="35"/>
  <c r="AA22" i="35"/>
  <c r="AB22" i="35"/>
  <c r="AC22" i="35"/>
  <c r="AD22" i="35"/>
  <c r="AE22" i="35"/>
  <c r="R23" i="35"/>
  <c r="S23" i="35"/>
  <c r="T23" i="35"/>
  <c r="U23" i="35"/>
  <c r="V23" i="35"/>
  <c r="W23" i="35"/>
  <c r="X23" i="35"/>
  <c r="Y23" i="35"/>
  <c r="Z23" i="35"/>
  <c r="AA23" i="35"/>
  <c r="AB23" i="35"/>
  <c r="AC23" i="35"/>
  <c r="AD23" i="35"/>
  <c r="AE23" i="35"/>
  <c r="R24" i="35"/>
  <c r="S24" i="35"/>
  <c r="T24" i="35"/>
  <c r="U24" i="35"/>
  <c r="V24" i="35"/>
  <c r="W24" i="35"/>
  <c r="X24" i="35"/>
  <c r="Y24" i="35"/>
  <c r="Z24" i="35"/>
  <c r="AA24" i="35"/>
  <c r="AB24" i="35"/>
  <c r="AC24" i="35"/>
  <c r="AD24" i="35"/>
  <c r="AE24" i="35"/>
  <c r="R25" i="35"/>
  <c r="S25" i="35"/>
  <c r="T25" i="35"/>
  <c r="U25" i="35"/>
  <c r="V25" i="35"/>
  <c r="W25" i="35"/>
  <c r="X25" i="35"/>
  <c r="Y25" i="35"/>
  <c r="Z25" i="35"/>
  <c r="AA25" i="35"/>
  <c r="AB25" i="35"/>
  <c r="AC25" i="35"/>
  <c r="AD25" i="35"/>
  <c r="AE25" i="35"/>
  <c r="R26" i="35"/>
  <c r="S26" i="35"/>
  <c r="T26" i="35"/>
  <c r="U26" i="35"/>
  <c r="V26" i="35"/>
  <c r="W26" i="35"/>
  <c r="X26" i="35"/>
  <c r="Y26" i="35"/>
  <c r="Z26" i="35"/>
  <c r="AA26" i="35"/>
  <c r="AB26" i="35"/>
  <c r="AC26" i="35"/>
  <c r="AD26" i="35"/>
  <c r="AE26" i="35"/>
  <c r="R27" i="35"/>
  <c r="S27" i="35"/>
  <c r="T27" i="35"/>
  <c r="U27" i="35"/>
  <c r="V27" i="35"/>
  <c r="W27" i="35"/>
  <c r="X27" i="35"/>
  <c r="Y27" i="35"/>
  <c r="Z27" i="35"/>
  <c r="AA27" i="35"/>
  <c r="AB27" i="35"/>
  <c r="AC27" i="35"/>
  <c r="AD27" i="35"/>
  <c r="AE27" i="35"/>
  <c r="R28" i="35"/>
  <c r="S28" i="35"/>
  <c r="T28" i="35"/>
  <c r="U28" i="35"/>
  <c r="V28" i="35"/>
  <c r="W28" i="35"/>
  <c r="X28" i="35"/>
  <c r="Y28" i="35"/>
  <c r="Z28" i="35"/>
  <c r="AA28" i="35"/>
  <c r="AB28" i="35"/>
  <c r="AC28" i="35"/>
  <c r="AD28" i="35"/>
  <c r="AE28" i="35"/>
  <c r="R29" i="35"/>
  <c r="S29" i="35"/>
  <c r="T29" i="35"/>
  <c r="U29" i="35"/>
  <c r="V29" i="35"/>
  <c r="W29" i="35"/>
  <c r="X29" i="35"/>
  <c r="Y29" i="35"/>
  <c r="Z29" i="35"/>
  <c r="AA29" i="35"/>
  <c r="AB29" i="35"/>
  <c r="AC29" i="35"/>
  <c r="AD29" i="35"/>
  <c r="AE29" i="35"/>
  <c r="R30" i="35"/>
  <c r="S30" i="35"/>
  <c r="T30" i="35"/>
  <c r="U30" i="35"/>
  <c r="V30" i="35"/>
  <c r="W30" i="35"/>
  <c r="X30" i="35"/>
  <c r="Y30" i="35"/>
  <c r="Z30" i="35"/>
  <c r="AA30" i="35"/>
  <c r="AB30" i="35"/>
  <c r="AC30" i="35"/>
  <c r="AD30" i="35"/>
  <c r="AE30" i="35"/>
  <c r="R31" i="35"/>
  <c r="S31" i="35"/>
  <c r="T31" i="35"/>
  <c r="U31" i="35"/>
  <c r="V31" i="35"/>
  <c r="W31" i="35"/>
  <c r="X31" i="35"/>
  <c r="Y31" i="35"/>
  <c r="Z31" i="35"/>
  <c r="AA31" i="35"/>
  <c r="AB31" i="35"/>
  <c r="AC31" i="35"/>
  <c r="AD31" i="35"/>
  <c r="AE31" i="35"/>
  <c r="R32" i="35"/>
  <c r="S32" i="35"/>
  <c r="T32" i="35"/>
  <c r="U32" i="35"/>
  <c r="V32" i="35"/>
  <c r="W32" i="35"/>
  <c r="X32" i="35"/>
  <c r="Y32" i="35"/>
  <c r="Z32" i="35"/>
  <c r="AA32" i="35"/>
  <c r="AB32" i="35"/>
  <c r="AC32" i="35"/>
  <c r="AD32" i="35"/>
  <c r="AE32" i="35"/>
  <c r="R33" i="35"/>
  <c r="S33" i="35"/>
  <c r="T33" i="35"/>
  <c r="U33" i="35"/>
  <c r="V33" i="35"/>
  <c r="W33" i="35"/>
  <c r="X33" i="35"/>
  <c r="Y33" i="35"/>
  <c r="Z33" i="35"/>
  <c r="AA33" i="35"/>
  <c r="AB33" i="35"/>
  <c r="AC33" i="35"/>
  <c r="AD33" i="35"/>
  <c r="AE33" i="35"/>
  <c r="R34" i="35"/>
  <c r="S34" i="35"/>
  <c r="T34" i="35"/>
  <c r="U34" i="35"/>
  <c r="V34" i="35"/>
  <c r="W34" i="35"/>
  <c r="X34" i="35"/>
  <c r="Y34" i="35"/>
  <c r="Z34" i="35"/>
  <c r="AA34" i="35"/>
  <c r="AB34" i="35"/>
  <c r="AC34" i="35"/>
  <c r="AD34" i="35"/>
  <c r="AE34" i="35"/>
  <c r="R35" i="35"/>
  <c r="S35" i="35"/>
  <c r="T35" i="35"/>
  <c r="U35" i="35"/>
  <c r="V35" i="35"/>
  <c r="W35" i="35"/>
  <c r="X35" i="35"/>
  <c r="Y35" i="35"/>
  <c r="Z35" i="35"/>
  <c r="AA35" i="35"/>
  <c r="AB35" i="35"/>
  <c r="AC35" i="35"/>
  <c r="AD35" i="35"/>
  <c r="AE35" i="35"/>
  <c r="R36" i="35"/>
  <c r="S36" i="35"/>
  <c r="T36" i="35"/>
  <c r="U36" i="35"/>
  <c r="V36" i="35"/>
  <c r="W36" i="35"/>
  <c r="X36" i="35"/>
  <c r="Y36" i="35"/>
  <c r="Z36" i="35"/>
  <c r="AA36" i="35"/>
  <c r="AB36" i="35"/>
  <c r="AC36" i="35"/>
  <c r="AD36" i="35"/>
  <c r="AE36" i="35"/>
  <c r="R37" i="35"/>
  <c r="S37" i="35"/>
  <c r="T37" i="35"/>
  <c r="U37" i="35"/>
  <c r="V37" i="35"/>
  <c r="W37" i="35"/>
  <c r="X37" i="35"/>
  <c r="Y37" i="35"/>
  <c r="Z37" i="35"/>
  <c r="AA37" i="35"/>
  <c r="AB37" i="35"/>
  <c r="AC37" i="35"/>
  <c r="AD37" i="35"/>
  <c r="AE37" i="35"/>
  <c r="R38" i="35"/>
  <c r="S38" i="35"/>
  <c r="T38" i="35"/>
  <c r="U38" i="35"/>
  <c r="V38" i="35"/>
  <c r="W38" i="35"/>
  <c r="X38" i="35"/>
  <c r="Y38" i="35"/>
  <c r="Z38" i="35"/>
  <c r="AA38" i="35"/>
  <c r="AB38" i="35"/>
  <c r="AC38" i="35"/>
  <c r="AD38" i="35"/>
  <c r="AE38" i="35"/>
  <c r="R39" i="35"/>
  <c r="S39" i="35"/>
  <c r="T39" i="35"/>
  <c r="U39" i="35"/>
  <c r="V39" i="35"/>
  <c r="W39" i="35"/>
  <c r="X39" i="35"/>
  <c r="Y39" i="35"/>
  <c r="Z39" i="35"/>
  <c r="AA39" i="35"/>
  <c r="AB39" i="35"/>
  <c r="AC39" i="35"/>
  <c r="AD39" i="35"/>
  <c r="AE39" i="35"/>
  <c r="R40" i="35"/>
  <c r="S40" i="35"/>
  <c r="T40" i="35"/>
  <c r="U40" i="35"/>
  <c r="V40" i="35"/>
  <c r="W40" i="35"/>
  <c r="X40" i="35"/>
  <c r="Y40" i="35"/>
  <c r="Z40" i="35"/>
  <c r="AA40" i="35"/>
  <c r="AB40" i="35"/>
  <c r="AC40" i="35"/>
  <c r="AD40" i="35"/>
  <c r="AE40" i="35"/>
  <c r="R41" i="35"/>
  <c r="S41" i="35"/>
  <c r="T41" i="35"/>
  <c r="U41" i="35"/>
  <c r="V41" i="35"/>
  <c r="W41" i="35"/>
  <c r="X41" i="35"/>
  <c r="Y41" i="35"/>
  <c r="Z41" i="35"/>
  <c r="AA41" i="35"/>
  <c r="AB41" i="35"/>
  <c r="AC41" i="35"/>
  <c r="AD41" i="35"/>
  <c r="AE41" i="35"/>
  <c r="R42" i="35"/>
  <c r="S42" i="35"/>
  <c r="T42" i="35"/>
  <c r="U42" i="35"/>
  <c r="V42" i="35"/>
  <c r="W42" i="35"/>
  <c r="X42" i="35"/>
  <c r="Y42" i="35"/>
  <c r="Z42" i="35"/>
  <c r="AA42" i="35"/>
  <c r="AB42" i="35"/>
  <c r="AC42" i="35"/>
  <c r="AD42" i="35"/>
  <c r="AE42" i="35"/>
  <c r="R43" i="35"/>
  <c r="S43" i="35"/>
  <c r="T43" i="35"/>
  <c r="U43" i="35"/>
  <c r="V43" i="35"/>
  <c r="W43" i="35"/>
  <c r="X43" i="35"/>
  <c r="Y43" i="35"/>
  <c r="Z43" i="35"/>
  <c r="AA43" i="35"/>
  <c r="AB43" i="35"/>
  <c r="AC43" i="35"/>
  <c r="AD43" i="35"/>
  <c r="AE43" i="35"/>
  <c r="R44" i="35"/>
  <c r="S44" i="35"/>
  <c r="T44" i="35"/>
  <c r="U44" i="35"/>
  <c r="V44" i="35"/>
  <c r="W44" i="35"/>
  <c r="X44" i="35"/>
  <c r="Y44" i="35"/>
  <c r="Z44" i="35"/>
  <c r="AA44" i="35"/>
  <c r="AB44" i="35"/>
  <c r="AC44" i="35"/>
  <c r="AD44" i="35"/>
  <c r="AE44" i="35"/>
  <c r="R45" i="35"/>
  <c r="S45" i="35"/>
  <c r="T45" i="35"/>
  <c r="U45" i="35"/>
  <c r="V45" i="35"/>
  <c r="W45" i="35"/>
  <c r="X45" i="35"/>
  <c r="Y45" i="35"/>
  <c r="Z45" i="35"/>
  <c r="AA45" i="35"/>
  <c r="AB45" i="35"/>
  <c r="AC45" i="35"/>
  <c r="AD45" i="35"/>
  <c r="AE45" i="35"/>
  <c r="R46" i="35"/>
  <c r="S46" i="35"/>
  <c r="T46" i="35"/>
  <c r="U46" i="35"/>
  <c r="V46" i="35"/>
  <c r="W46" i="35"/>
  <c r="X46" i="35"/>
  <c r="Y46" i="35"/>
  <c r="Z46" i="35"/>
  <c r="AA46" i="35"/>
  <c r="AB46" i="35"/>
  <c r="AC46" i="35"/>
  <c r="AD46" i="35"/>
  <c r="AE46" i="35"/>
  <c r="R47" i="35"/>
  <c r="S47" i="35"/>
  <c r="T47" i="35"/>
  <c r="U47" i="35"/>
  <c r="V47" i="35"/>
  <c r="W47" i="35"/>
  <c r="X47" i="35"/>
  <c r="Y47" i="35"/>
  <c r="Z47" i="35"/>
  <c r="AA47" i="35"/>
  <c r="AB47" i="35"/>
  <c r="AC47" i="35"/>
  <c r="AD47" i="35"/>
  <c r="AE47" i="35"/>
  <c r="R48" i="35"/>
  <c r="S48" i="35"/>
  <c r="T48" i="35"/>
  <c r="U48" i="35"/>
  <c r="V48" i="35"/>
  <c r="W48" i="35"/>
  <c r="X48" i="35"/>
  <c r="Y48" i="35"/>
  <c r="Z48" i="35"/>
  <c r="AA48" i="35"/>
  <c r="AB48" i="35"/>
  <c r="AC48" i="35"/>
  <c r="AD48" i="35"/>
  <c r="AE48" i="35"/>
  <c r="R49" i="35"/>
  <c r="S49" i="35"/>
  <c r="T49" i="35"/>
  <c r="U49" i="35"/>
  <c r="V49" i="35"/>
  <c r="W49" i="35"/>
  <c r="X49" i="35"/>
  <c r="Y49" i="35"/>
  <c r="Z49" i="35"/>
  <c r="AA49" i="35"/>
  <c r="AB49" i="35"/>
  <c r="AC49" i="35"/>
  <c r="AD49" i="35"/>
  <c r="AE49" i="35"/>
  <c r="R50" i="35"/>
  <c r="S50" i="35"/>
  <c r="T50" i="35"/>
  <c r="U50" i="35"/>
  <c r="V50" i="35"/>
  <c r="W50" i="35"/>
  <c r="X50" i="35"/>
  <c r="Y50" i="35"/>
  <c r="Z50" i="35"/>
  <c r="AA50" i="35"/>
  <c r="AB50" i="35"/>
  <c r="AC50" i="35"/>
  <c r="AD50" i="35"/>
  <c r="AE50" i="35"/>
  <c r="R51" i="35"/>
  <c r="S51" i="35"/>
  <c r="T51" i="35"/>
  <c r="U51" i="35"/>
  <c r="V51" i="35"/>
  <c r="W51" i="35"/>
  <c r="X51" i="35"/>
  <c r="Y51" i="35"/>
  <c r="Z51" i="35"/>
  <c r="AA51" i="35"/>
  <c r="AB51" i="35"/>
  <c r="AC51" i="35"/>
  <c r="AD51" i="35"/>
  <c r="AE51" i="35"/>
  <c r="R52" i="35"/>
  <c r="S52" i="35"/>
  <c r="T52" i="35"/>
  <c r="U52" i="35"/>
  <c r="V52" i="35"/>
  <c r="W52" i="35"/>
  <c r="X52" i="35"/>
  <c r="Y52" i="35"/>
  <c r="Z52" i="35"/>
  <c r="AA52" i="35"/>
  <c r="AB52" i="35"/>
  <c r="AC52" i="35"/>
  <c r="AD52" i="35"/>
  <c r="AE52" i="35"/>
  <c r="R53" i="35"/>
  <c r="S53" i="35"/>
  <c r="T53" i="35"/>
  <c r="U53" i="35"/>
  <c r="V53" i="35"/>
  <c r="W53" i="35"/>
  <c r="X53" i="35"/>
  <c r="Y53" i="35"/>
  <c r="Z53" i="35"/>
  <c r="AA53" i="35"/>
  <c r="AB53" i="35"/>
  <c r="AC53" i="35"/>
  <c r="AD53" i="35"/>
  <c r="AE53" i="35"/>
  <c r="R54" i="35"/>
  <c r="S54" i="35"/>
  <c r="T54" i="35"/>
  <c r="U54" i="35"/>
  <c r="V54" i="35"/>
  <c r="W54" i="35"/>
  <c r="X54" i="35"/>
  <c r="Y54" i="35"/>
  <c r="Z54" i="35"/>
  <c r="AA54" i="35"/>
  <c r="AB54" i="35"/>
  <c r="AC54" i="35"/>
  <c r="AD54" i="35"/>
  <c r="AE54" i="35"/>
  <c r="R55" i="35"/>
  <c r="S55" i="35"/>
  <c r="T55" i="35"/>
  <c r="U55" i="35"/>
  <c r="V55" i="35"/>
  <c r="W55" i="35"/>
  <c r="X55" i="35"/>
  <c r="Y55" i="35"/>
  <c r="Z55" i="35"/>
  <c r="AA55" i="35"/>
  <c r="AB55" i="35"/>
  <c r="AC55" i="35"/>
  <c r="AD55" i="35"/>
  <c r="AE55" i="35"/>
  <c r="R56" i="35"/>
  <c r="S56" i="35"/>
  <c r="T56" i="35"/>
  <c r="U56" i="35"/>
  <c r="V56" i="35"/>
  <c r="W56" i="35"/>
  <c r="X56" i="35"/>
  <c r="Y56" i="35"/>
  <c r="Z56" i="35"/>
  <c r="AA56" i="35"/>
  <c r="AB56" i="35"/>
  <c r="AC56" i="35"/>
  <c r="AD56" i="35"/>
  <c r="AE56" i="35"/>
  <c r="R57" i="35"/>
  <c r="S57" i="35"/>
  <c r="T57" i="35"/>
  <c r="U57" i="35"/>
  <c r="V57" i="35"/>
  <c r="W57" i="35"/>
  <c r="X57" i="35"/>
  <c r="Y57" i="35"/>
  <c r="Z57" i="35"/>
  <c r="AA57" i="35"/>
  <c r="AB57" i="35"/>
  <c r="AC57" i="35"/>
  <c r="AD57" i="35"/>
  <c r="AE57" i="35"/>
  <c r="R58" i="35"/>
  <c r="S58" i="35"/>
  <c r="T58" i="35"/>
  <c r="U58" i="35"/>
  <c r="V58" i="35"/>
  <c r="W58" i="35"/>
  <c r="X58" i="35"/>
  <c r="Y58" i="35"/>
  <c r="Z58" i="35"/>
  <c r="AA58" i="35"/>
  <c r="AB58" i="35"/>
  <c r="AC58" i="35"/>
  <c r="AD58" i="35"/>
  <c r="AE58" i="35"/>
  <c r="R59" i="35"/>
  <c r="S59" i="35"/>
  <c r="T59" i="35"/>
  <c r="U59" i="35"/>
  <c r="V59" i="35"/>
  <c r="W59" i="35"/>
  <c r="X59" i="35"/>
  <c r="Y59" i="35"/>
  <c r="Z59" i="35"/>
  <c r="AA59" i="35"/>
  <c r="AB59" i="35"/>
  <c r="AC59" i="35"/>
  <c r="AD59" i="35"/>
  <c r="AE59" i="35"/>
  <c r="R60" i="35"/>
  <c r="S60" i="35"/>
  <c r="T60" i="35"/>
  <c r="U60" i="35"/>
  <c r="V60" i="35"/>
  <c r="W60" i="35"/>
  <c r="X60" i="35"/>
  <c r="Y60" i="35"/>
  <c r="Z60" i="35"/>
  <c r="AA60" i="35"/>
  <c r="AB60" i="35"/>
  <c r="AC60" i="35"/>
  <c r="AD60" i="35"/>
  <c r="AE60" i="35"/>
  <c r="R61" i="35"/>
  <c r="S61" i="35"/>
  <c r="T61" i="35"/>
  <c r="U61" i="35"/>
  <c r="V61" i="35"/>
  <c r="W61" i="35"/>
  <c r="X61" i="35"/>
  <c r="Y61" i="35"/>
  <c r="Z61" i="35"/>
  <c r="AA61" i="35"/>
  <c r="AB61" i="35"/>
  <c r="AC61" i="35"/>
  <c r="AD61" i="35"/>
  <c r="AE61" i="35"/>
  <c r="R62" i="35"/>
  <c r="S62" i="35"/>
  <c r="T62" i="35"/>
  <c r="U62" i="35"/>
  <c r="V62" i="35"/>
  <c r="W62" i="35"/>
  <c r="X62" i="35"/>
  <c r="Y62" i="35"/>
  <c r="Z62" i="35"/>
  <c r="AA62" i="35"/>
  <c r="AB62" i="35"/>
  <c r="AC62" i="35"/>
  <c r="AD62" i="35"/>
  <c r="AE62" i="35"/>
  <c r="R63" i="35"/>
  <c r="S63" i="35"/>
  <c r="T63" i="35"/>
  <c r="U63" i="35"/>
  <c r="V63" i="35"/>
  <c r="W63" i="35"/>
  <c r="X63" i="35"/>
  <c r="Y63" i="35"/>
  <c r="Z63" i="35"/>
  <c r="AA63" i="35"/>
  <c r="AB63" i="35"/>
  <c r="AC63" i="35"/>
  <c r="AD63" i="35"/>
  <c r="AE63" i="35"/>
  <c r="R64" i="35"/>
  <c r="S64" i="35"/>
  <c r="T64" i="35"/>
  <c r="U64" i="35"/>
  <c r="V64" i="35"/>
  <c r="W64" i="35"/>
  <c r="X64" i="35"/>
  <c r="Y64" i="35"/>
  <c r="Z64" i="35"/>
  <c r="AA64" i="35"/>
  <c r="AB64" i="35"/>
  <c r="AC64" i="35"/>
  <c r="AD64" i="35"/>
  <c r="AE64" i="35"/>
  <c r="R65" i="35"/>
  <c r="S65" i="35"/>
  <c r="T65" i="35"/>
  <c r="U65" i="35"/>
  <c r="V65" i="35"/>
  <c r="W65" i="35"/>
  <c r="X65" i="35"/>
  <c r="Y65" i="35"/>
  <c r="Z65" i="35"/>
  <c r="AA65" i="35"/>
  <c r="AB65" i="35"/>
  <c r="AC65" i="35"/>
  <c r="AD65" i="35"/>
  <c r="AE65" i="35"/>
  <c r="R66" i="35"/>
  <c r="S66" i="35"/>
  <c r="T66" i="35"/>
  <c r="U66" i="35"/>
  <c r="V66" i="35"/>
  <c r="W66" i="35"/>
  <c r="X66" i="35"/>
  <c r="Y66" i="35"/>
  <c r="Z66" i="35"/>
  <c r="AA66" i="35"/>
  <c r="AB66" i="35"/>
  <c r="AC66" i="35"/>
  <c r="AD66" i="35"/>
  <c r="AE66" i="35"/>
  <c r="R67" i="35"/>
  <c r="S67" i="35"/>
  <c r="T67" i="35"/>
  <c r="U67" i="35"/>
  <c r="V67" i="35"/>
  <c r="W67" i="35"/>
  <c r="X67" i="35"/>
  <c r="Y67" i="35"/>
  <c r="Z67" i="35"/>
  <c r="AA67" i="35"/>
  <c r="AB67" i="35"/>
  <c r="AC67" i="35"/>
  <c r="AD67" i="35"/>
  <c r="AE67" i="35"/>
  <c r="R68" i="35"/>
  <c r="S68" i="35"/>
  <c r="T68" i="35"/>
  <c r="U68" i="35"/>
  <c r="V68" i="35"/>
  <c r="W68" i="35"/>
  <c r="X68" i="35"/>
  <c r="Y68" i="35"/>
  <c r="Z68" i="35"/>
  <c r="AA68" i="35"/>
  <c r="AB68" i="35"/>
  <c r="AC68" i="35"/>
  <c r="AD68" i="35"/>
  <c r="AE68" i="35"/>
  <c r="R69" i="35"/>
  <c r="S69" i="35"/>
  <c r="T69" i="35"/>
  <c r="U69" i="35"/>
  <c r="V69" i="35"/>
  <c r="W69" i="35"/>
  <c r="X69" i="35"/>
  <c r="Y69" i="35"/>
  <c r="Z69" i="35"/>
  <c r="AA69" i="35"/>
  <c r="AB69" i="35"/>
  <c r="AC69" i="35"/>
  <c r="AD69" i="35"/>
  <c r="AE69" i="35"/>
  <c r="R70" i="35"/>
  <c r="S70" i="35"/>
  <c r="T70" i="35"/>
  <c r="U70" i="35"/>
  <c r="V70" i="35"/>
  <c r="W70" i="35"/>
  <c r="X70" i="35"/>
  <c r="Y70" i="35"/>
  <c r="Z70" i="35"/>
  <c r="AA70" i="35"/>
  <c r="AB70" i="35"/>
  <c r="AC70" i="35"/>
  <c r="AD70" i="35"/>
  <c r="AE70" i="35"/>
  <c r="R71" i="35"/>
  <c r="S71" i="35"/>
  <c r="T71" i="35"/>
  <c r="U71" i="35"/>
  <c r="V71" i="35"/>
  <c r="W71" i="35"/>
  <c r="X71" i="35"/>
  <c r="Y71" i="35"/>
  <c r="Z71" i="35"/>
  <c r="AA71" i="35"/>
  <c r="AB71" i="35"/>
  <c r="AC71" i="35"/>
  <c r="AD71" i="35"/>
  <c r="AE71" i="35"/>
  <c r="R72" i="35"/>
  <c r="S72" i="35"/>
  <c r="T72" i="35"/>
  <c r="U72" i="35"/>
  <c r="V72" i="35"/>
  <c r="W72" i="35"/>
  <c r="X72" i="35"/>
  <c r="Y72" i="35"/>
  <c r="Z72" i="35"/>
  <c r="AA72" i="35"/>
  <c r="AB72" i="35"/>
  <c r="AC72" i="35"/>
  <c r="AD72" i="35"/>
  <c r="AE72" i="35"/>
  <c r="R73" i="35"/>
  <c r="S73" i="35"/>
  <c r="T73" i="35"/>
  <c r="U73" i="35"/>
  <c r="V73" i="35"/>
  <c r="W73" i="35"/>
  <c r="X73" i="35"/>
  <c r="Y73" i="35"/>
  <c r="Z73" i="35"/>
  <c r="AA73" i="35"/>
  <c r="AB73" i="35"/>
  <c r="AC73" i="35"/>
  <c r="AD73" i="35"/>
  <c r="AE73" i="35"/>
  <c r="R74" i="35"/>
  <c r="S74" i="35"/>
  <c r="T74" i="35"/>
  <c r="U74" i="35"/>
  <c r="V74" i="35"/>
  <c r="W74" i="35"/>
  <c r="X74" i="35"/>
  <c r="Y74" i="35"/>
  <c r="Z74" i="35"/>
  <c r="AA74" i="35"/>
  <c r="AB74" i="35"/>
  <c r="AC74" i="35"/>
  <c r="AD74" i="35"/>
  <c r="AE74" i="35"/>
  <c r="R75" i="35"/>
  <c r="S75" i="35"/>
  <c r="T75" i="35"/>
  <c r="U75" i="35"/>
  <c r="V75" i="35"/>
  <c r="W75" i="35"/>
  <c r="X75" i="35"/>
  <c r="Y75" i="35"/>
  <c r="Z75" i="35"/>
  <c r="AA75" i="35"/>
  <c r="AB75" i="35"/>
  <c r="AC75" i="35"/>
  <c r="AD75" i="35"/>
  <c r="AE75" i="35"/>
  <c r="R76" i="35"/>
  <c r="S76" i="35"/>
  <c r="T76" i="35"/>
  <c r="U76" i="35"/>
  <c r="V76" i="35"/>
  <c r="W76" i="35"/>
  <c r="X76" i="35"/>
  <c r="Y76" i="35"/>
  <c r="Z76" i="35"/>
  <c r="AA76" i="35"/>
  <c r="AB76" i="35"/>
  <c r="AC76" i="35"/>
  <c r="AD76" i="35"/>
  <c r="AE76" i="35"/>
  <c r="R77" i="35"/>
  <c r="S77" i="35"/>
  <c r="T77" i="35"/>
  <c r="U77" i="35"/>
  <c r="V77" i="35"/>
  <c r="W77" i="35"/>
  <c r="X77" i="35"/>
  <c r="Y77" i="35"/>
  <c r="Z77" i="35"/>
  <c r="AA77" i="35"/>
  <c r="AB77" i="35"/>
  <c r="AC77" i="35"/>
  <c r="AD77" i="35"/>
  <c r="AE77" i="35"/>
  <c r="R78" i="35"/>
  <c r="S78" i="35"/>
  <c r="T78" i="35"/>
  <c r="U78" i="35"/>
  <c r="V78" i="35"/>
  <c r="W78" i="35"/>
  <c r="X78" i="35"/>
  <c r="Y78" i="35"/>
  <c r="Z78" i="35"/>
  <c r="AA78" i="35"/>
  <c r="AB78" i="35"/>
  <c r="AC78" i="35"/>
  <c r="AD78" i="35"/>
  <c r="AE78" i="35"/>
  <c r="R79" i="35"/>
  <c r="S79" i="35"/>
  <c r="T79" i="35"/>
  <c r="U79" i="35"/>
  <c r="V79" i="35"/>
  <c r="W79" i="35"/>
  <c r="X79" i="35"/>
  <c r="Y79" i="35"/>
  <c r="Z79" i="35"/>
  <c r="AA79" i="35"/>
  <c r="AB79" i="35"/>
  <c r="AC79" i="35"/>
  <c r="AD79" i="35"/>
  <c r="AE79" i="35"/>
  <c r="R80" i="35"/>
  <c r="S80" i="35"/>
  <c r="T80" i="35"/>
  <c r="U80" i="35"/>
  <c r="V80" i="35"/>
  <c r="W80" i="35"/>
  <c r="X80" i="35"/>
  <c r="Y80" i="35"/>
  <c r="Z80" i="35"/>
  <c r="AA80" i="35"/>
  <c r="AB80" i="35"/>
  <c r="AC80" i="35"/>
  <c r="AD80" i="35"/>
  <c r="AE80" i="35"/>
  <c r="C81" i="35"/>
  <c r="D81" i="35"/>
  <c r="E81" i="35"/>
  <c r="F81" i="35"/>
  <c r="G81" i="35"/>
  <c r="H81" i="35"/>
  <c r="I81" i="35"/>
  <c r="J81" i="35"/>
  <c r="K81" i="35"/>
  <c r="L81" i="35"/>
  <c r="M81" i="35"/>
  <c r="N81" i="35"/>
  <c r="O81" i="35"/>
  <c r="P81" i="35"/>
  <c r="K17" i="7"/>
  <c r="F15" i="7"/>
  <c r="B61" i="15"/>
  <c r="B58" i="15"/>
  <c r="B55" i="15"/>
  <c r="B51" i="15"/>
  <c r="E42" i="15"/>
  <c r="D42" i="15"/>
  <c r="C42" i="15"/>
  <c r="E39" i="15"/>
  <c r="D39" i="15"/>
  <c r="C39" i="15"/>
  <c r="D41" i="15"/>
  <c r="C41" i="15"/>
  <c r="C40" i="15"/>
  <c r="D40" i="15"/>
  <c r="N41" i="28"/>
  <c r="M41" i="28"/>
  <c r="L41" i="28"/>
  <c r="K41" i="28"/>
  <c r="J41" i="28"/>
  <c r="I41" i="28"/>
  <c r="G41" i="28"/>
  <c r="F41" i="28"/>
  <c r="E41" i="28"/>
  <c r="N25" i="28"/>
  <c r="M25" i="28"/>
  <c r="L25" i="28"/>
  <c r="K25" i="28"/>
  <c r="J25" i="28"/>
  <c r="I25" i="28"/>
  <c r="G25" i="28"/>
  <c r="F25" i="28"/>
  <c r="E25" i="28"/>
  <c r="N14" i="28"/>
  <c r="M14" i="28"/>
  <c r="L14" i="28"/>
  <c r="K14" i="28"/>
  <c r="J14" i="28"/>
  <c r="I14" i="28"/>
  <c r="G14" i="28"/>
  <c r="F14" i="28"/>
  <c r="E14" i="28"/>
  <c r="D31" i="26"/>
  <c r="D18" i="26"/>
  <c r="E12" i="26"/>
  <c r="E13" i="26"/>
  <c r="C55" i="15"/>
  <c r="C58" i="15"/>
  <c r="C61" i="15"/>
  <c r="C52" i="15"/>
  <c r="B28" i="5"/>
  <c r="B20" i="5"/>
  <c r="D20" i="5"/>
  <c r="E20" i="5"/>
  <c r="B19" i="5"/>
  <c r="D19" i="5"/>
  <c r="E19" i="5"/>
  <c r="B17" i="5"/>
  <c r="D17" i="5"/>
  <c r="E17" i="5"/>
  <c r="G22" i="7"/>
  <c r="C22" i="7"/>
  <c r="F21" i="2"/>
  <c r="F22" i="2"/>
  <c r="E21" i="2"/>
  <c r="E22" i="2"/>
  <c r="D21" i="2"/>
  <c r="D22" i="2"/>
  <c r="F39" i="1"/>
  <c r="E22" i="7"/>
  <c r="B22" i="7"/>
  <c r="D22" i="7"/>
  <c r="G22" i="2"/>
  <c r="D61" i="5"/>
  <c r="F61" i="5"/>
  <c r="D63" i="5"/>
  <c r="K49" i="5"/>
  <c r="H21" i="1"/>
  <c r="I21" i="1"/>
  <c r="H24" i="1"/>
  <c r="B14" i="7"/>
  <c r="B15" i="7"/>
  <c r="E15" i="7"/>
  <c r="K20" i="1"/>
  <c r="K21" i="1"/>
  <c r="K23" i="1"/>
  <c r="J20" i="1"/>
  <c r="J21" i="1"/>
  <c r="J23" i="1"/>
  <c r="I23" i="1"/>
  <c r="H23" i="1"/>
  <c r="G21" i="1"/>
  <c r="G23" i="1"/>
  <c r="F21" i="1"/>
  <c r="F23" i="1"/>
  <c r="E21" i="1"/>
  <c r="E23" i="1"/>
  <c r="D21" i="1"/>
  <c r="D23" i="1"/>
  <c r="C21" i="1"/>
  <c r="C23" i="1"/>
  <c r="B21" i="1"/>
  <c r="B23" i="1"/>
  <c r="K22" i="1"/>
  <c r="J22" i="1"/>
  <c r="I22" i="1"/>
  <c r="H22" i="1"/>
  <c r="G22" i="1"/>
  <c r="F22" i="1"/>
  <c r="E22" i="1"/>
  <c r="D22" i="1"/>
  <c r="C22" i="1"/>
  <c r="B22" i="1"/>
  <c r="C13" i="7"/>
  <c r="B13" i="7"/>
  <c r="E5" i="7"/>
  <c r="F22" i="7"/>
  <c r="D11" i="20"/>
  <c r="G11" i="20"/>
  <c r="D12" i="20"/>
  <c r="E11" i="20"/>
  <c r="H11" i="20"/>
  <c r="E12" i="20"/>
  <c r="C11" i="20"/>
  <c r="F11" i="20"/>
  <c r="C12" i="20"/>
  <c r="G47" i="19"/>
  <c r="G46" i="19"/>
  <c r="F46" i="19"/>
  <c r="H10" i="20"/>
  <c r="D49" i="19"/>
  <c r="H6" i="20"/>
  <c r="D48" i="19"/>
  <c r="E10" i="20"/>
  <c r="D47" i="19"/>
  <c r="E6" i="20"/>
  <c r="D46" i="19"/>
  <c r="H115" i="31"/>
  <c r="I10" i="17"/>
  <c r="I9" i="17"/>
  <c r="I7" i="17"/>
  <c r="I6" i="17"/>
  <c r="H10" i="17"/>
  <c r="H9" i="17"/>
  <c r="I5" i="17"/>
  <c r="I8" i="17"/>
  <c r="H5" i="17"/>
  <c r="H6" i="17"/>
  <c r="H7" i="17"/>
  <c r="H8" i="17"/>
  <c r="D29" i="19"/>
  <c r="D30" i="19"/>
  <c r="D31" i="19"/>
  <c r="D32" i="19"/>
  <c r="D33" i="19"/>
  <c r="D34" i="19"/>
  <c r="D35" i="19"/>
  <c r="D36" i="19"/>
  <c r="D37" i="19"/>
  <c r="D38" i="19"/>
  <c r="D39" i="19"/>
  <c r="B39" i="19"/>
  <c r="B38" i="19"/>
  <c r="B37" i="19"/>
  <c r="B36" i="19"/>
  <c r="B35" i="19"/>
  <c r="B34" i="19"/>
  <c r="B33" i="19"/>
  <c r="B32" i="19"/>
  <c r="B31" i="19"/>
  <c r="B30" i="19"/>
  <c r="B29" i="19"/>
  <c r="G115" i="31"/>
  <c r="G62" i="31"/>
  <c r="C17" i="16"/>
  <c r="C16" i="16"/>
  <c r="C14" i="16"/>
  <c r="C12" i="16"/>
  <c r="C13" i="16"/>
  <c r="N62" i="10"/>
  <c r="E6" i="29"/>
  <c r="E9" i="29"/>
  <c r="D16" i="29"/>
  <c r="E16" i="29"/>
  <c r="E15" i="29"/>
  <c r="D14" i="29"/>
  <c r="D15" i="29"/>
  <c r="D185" i="28"/>
  <c r="E185" i="28"/>
  <c r="D196" i="28"/>
  <c r="E196" i="28"/>
  <c r="D212" i="28"/>
  <c r="E212" i="28"/>
  <c r="C170" i="28"/>
  <c r="D170" i="28"/>
  <c r="E170" i="28"/>
  <c r="F170" i="28"/>
  <c r="G170" i="28"/>
  <c r="H170" i="28"/>
  <c r="J170" i="28"/>
  <c r="K170" i="28"/>
  <c r="L170" i="28"/>
  <c r="M170" i="28"/>
  <c r="N170" i="28"/>
  <c r="O170" i="28"/>
  <c r="P170" i="28"/>
  <c r="Q170" i="28"/>
  <c r="R170" i="28"/>
  <c r="S170" i="28"/>
  <c r="U170" i="28"/>
  <c r="V170" i="28"/>
  <c r="W170" i="28"/>
  <c r="X170" i="28"/>
  <c r="Y170" i="28"/>
  <c r="Z170" i="28"/>
  <c r="AA170" i="28"/>
  <c r="AB170" i="28"/>
  <c r="AC170" i="28"/>
  <c r="AD170" i="28"/>
  <c r="AE170" i="28"/>
  <c r="AF170" i="28"/>
  <c r="AG170" i="28"/>
  <c r="AH170" i="28"/>
  <c r="AI170" i="28"/>
  <c r="C42" i="28"/>
  <c r="D42" i="28"/>
  <c r="B6" i="10"/>
  <c r="B55" i="11"/>
  <c r="I45" i="10"/>
  <c r="H45" i="10"/>
  <c r="G45" i="10"/>
  <c r="F45" i="10"/>
  <c r="E45" i="10"/>
  <c r="D45" i="10"/>
  <c r="C45" i="10"/>
  <c r="B45" i="10"/>
  <c r="D22" i="26"/>
  <c r="A8" i="26"/>
  <c r="D20" i="26"/>
  <c r="C63" i="25"/>
  <c r="C5" i="25"/>
  <c r="C62" i="25"/>
  <c r="C64" i="25"/>
  <c r="D12" i="25"/>
  <c r="D20" i="25"/>
  <c r="D28" i="25"/>
  <c r="D37" i="25"/>
  <c r="D46" i="25"/>
  <c r="D52" i="25"/>
  <c r="D60" i="25"/>
  <c r="D62" i="25"/>
  <c r="H62" i="25"/>
  <c r="F60" i="25"/>
  <c r="F52" i="25"/>
  <c r="F46" i="25"/>
  <c r="F37" i="25"/>
  <c r="F28" i="25"/>
  <c r="F20" i="25"/>
  <c r="F12" i="25"/>
  <c r="R6" i="23"/>
  <c r="R7" i="23"/>
  <c r="C8" i="23"/>
  <c r="D8" i="23"/>
  <c r="E8" i="23"/>
  <c r="F8" i="23"/>
  <c r="G8" i="23"/>
  <c r="H8" i="23"/>
  <c r="I8" i="23"/>
  <c r="J8" i="23"/>
  <c r="K8" i="23"/>
  <c r="L8" i="23"/>
  <c r="M8" i="23"/>
  <c r="N8" i="23"/>
  <c r="O8" i="23"/>
  <c r="R8" i="23"/>
  <c r="R9" i="23"/>
  <c r="R10" i="23"/>
  <c r="C11" i="23"/>
  <c r="D11" i="23"/>
  <c r="E11" i="23"/>
  <c r="F11" i="23"/>
  <c r="G11" i="23"/>
  <c r="H11" i="23"/>
  <c r="I11" i="23"/>
  <c r="J11" i="23"/>
  <c r="K11" i="23"/>
  <c r="L11" i="23"/>
  <c r="M11" i="23"/>
  <c r="N11" i="23"/>
  <c r="O11" i="23"/>
  <c r="R11" i="23"/>
  <c r="R14" i="23"/>
  <c r="O15" i="23"/>
  <c r="R15" i="23"/>
  <c r="R16" i="23"/>
  <c r="R17" i="23"/>
  <c r="R18" i="23"/>
  <c r="R19" i="23"/>
  <c r="C22" i="23"/>
  <c r="D22" i="23"/>
  <c r="E22" i="23"/>
  <c r="F22" i="23"/>
  <c r="G22" i="23"/>
  <c r="H22" i="23"/>
  <c r="I22" i="23"/>
  <c r="J22" i="23"/>
  <c r="K22" i="23"/>
  <c r="L22" i="23"/>
  <c r="M22" i="23"/>
  <c r="N22" i="23"/>
  <c r="O22" i="23"/>
  <c r="R22" i="23"/>
  <c r="R23" i="23"/>
  <c r="R24" i="23"/>
  <c r="R26" i="23"/>
  <c r="R27" i="23"/>
  <c r="R30" i="23"/>
  <c r="C31" i="23"/>
  <c r="D31" i="23"/>
  <c r="E31" i="23"/>
  <c r="F31" i="23"/>
  <c r="G31" i="23"/>
  <c r="H31" i="23"/>
  <c r="I31" i="23"/>
  <c r="J31" i="23"/>
  <c r="K31" i="23"/>
  <c r="L31" i="23"/>
  <c r="M31" i="23"/>
  <c r="N31" i="23"/>
  <c r="O31" i="23"/>
  <c r="R31" i="23"/>
  <c r="R32" i="23"/>
  <c r="R33" i="23"/>
  <c r="R35" i="23"/>
  <c r="R36" i="23"/>
  <c r="C41" i="23"/>
  <c r="D41" i="23"/>
  <c r="E41" i="23"/>
  <c r="F41" i="23"/>
  <c r="G41" i="23"/>
  <c r="H41" i="23"/>
  <c r="I41" i="23"/>
  <c r="J41" i="23"/>
  <c r="K41" i="23"/>
  <c r="L41" i="23"/>
  <c r="M41" i="23"/>
  <c r="N41" i="23"/>
  <c r="O41" i="23"/>
  <c r="O47" i="23"/>
  <c r="O48" i="23"/>
  <c r="C54" i="23"/>
  <c r="D54" i="23"/>
  <c r="E54" i="23"/>
  <c r="F54" i="23"/>
  <c r="G54" i="23"/>
  <c r="H54" i="23"/>
  <c r="I54" i="23"/>
  <c r="J54" i="23"/>
  <c r="K54" i="23"/>
  <c r="L54" i="23"/>
  <c r="M54" i="23"/>
  <c r="N54" i="23"/>
  <c r="O54" i="23"/>
  <c r="C67" i="23"/>
  <c r="D67" i="23"/>
  <c r="E67" i="23"/>
  <c r="F67" i="23"/>
  <c r="G67" i="23"/>
  <c r="H67" i="23"/>
  <c r="I67" i="23"/>
  <c r="J67" i="23"/>
  <c r="K67" i="23"/>
  <c r="L67" i="23"/>
  <c r="M67" i="23"/>
  <c r="N67" i="23"/>
  <c r="O67" i="23"/>
  <c r="C69" i="23"/>
  <c r="D69" i="23"/>
  <c r="E69" i="23"/>
  <c r="F69" i="23"/>
  <c r="G69" i="23"/>
  <c r="H69" i="23"/>
  <c r="I69" i="23"/>
  <c r="J69" i="23"/>
  <c r="K69" i="23"/>
  <c r="L69" i="23"/>
  <c r="M69" i="23"/>
  <c r="N69" i="23"/>
  <c r="O69" i="23"/>
  <c r="E70" i="23"/>
  <c r="H70" i="23"/>
  <c r="K70" i="23"/>
  <c r="N70" i="23"/>
  <c r="O70" i="23"/>
  <c r="C49" i="19"/>
  <c r="C48" i="19"/>
  <c r="C47" i="19"/>
  <c r="C46" i="19"/>
  <c r="K7" i="20"/>
  <c r="L7" i="20"/>
  <c r="K6" i="20"/>
  <c r="L6" i="20"/>
  <c r="F63" i="12"/>
  <c r="F55" i="12"/>
  <c r="F44" i="12"/>
  <c r="F79" i="12"/>
  <c r="E63" i="12"/>
  <c r="E55" i="12"/>
  <c r="E44" i="12"/>
  <c r="E79" i="12"/>
  <c r="D63" i="12"/>
  <c r="D55" i="12"/>
  <c r="D44" i="12"/>
  <c r="D79" i="12"/>
  <c r="C63" i="12"/>
  <c r="C55" i="12"/>
  <c r="C44" i="12"/>
  <c r="C79" i="12"/>
  <c r="B63" i="12"/>
  <c r="B55" i="12"/>
  <c r="B44" i="12"/>
  <c r="B79" i="12"/>
  <c r="B64" i="11"/>
  <c r="E22" i="15"/>
  <c r="E21" i="15"/>
  <c r="I22" i="15"/>
  <c r="D22" i="15"/>
  <c r="D21" i="15"/>
  <c r="H22" i="15"/>
  <c r="C22" i="15"/>
  <c r="C21" i="15"/>
  <c r="G22" i="15"/>
  <c r="B22" i="15"/>
  <c r="B21" i="15"/>
  <c r="F22" i="15"/>
  <c r="I21" i="15"/>
  <c r="G21" i="15"/>
  <c r="I20" i="15"/>
  <c r="G20" i="15"/>
  <c r="I19" i="15"/>
  <c r="G19" i="15"/>
  <c r="I18" i="15"/>
  <c r="G18" i="15"/>
  <c r="I17" i="15"/>
  <c r="G17" i="15"/>
  <c r="I16" i="15"/>
  <c r="H16" i="15"/>
  <c r="G16" i="15"/>
  <c r="I15" i="15"/>
  <c r="H15" i="15"/>
  <c r="G15" i="15"/>
  <c r="I14" i="15"/>
  <c r="H14" i="15"/>
  <c r="G14" i="15"/>
  <c r="I13" i="15"/>
  <c r="H13" i="15"/>
  <c r="G13" i="15"/>
  <c r="F13" i="15"/>
  <c r="I12" i="15"/>
  <c r="H12" i="15"/>
  <c r="G12" i="15"/>
  <c r="F12" i="15"/>
  <c r="I11" i="15"/>
  <c r="H11" i="15"/>
  <c r="G11" i="15"/>
  <c r="F11" i="15"/>
  <c r="I10" i="15"/>
  <c r="H10" i="15"/>
  <c r="G10" i="15"/>
  <c r="F10" i="15"/>
  <c r="I9" i="15"/>
  <c r="H9" i="15"/>
  <c r="G9" i="15"/>
  <c r="F9" i="15"/>
  <c r="I8" i="15"/>
  <c r="H8" i="15"/>
  <c r="G8" i="15"/>
  <c r="F8" i="15"/>
  <c r="I7" i="15"/>
  <c r="H7" i="15"/>
  <c r="G7" i="15"/>
  <c r="F7" i="15"/>
  <c r="I6" i="15"/>
  <c r="H6" i="15"/>
  <c r="G6" i="15"/>
  <c r="F6" i="15"/>
  <c r="I5" i="15"/>
  <c r="H5" i="15"/>
  <c r="G5" i="15"/>
  <c r="F5" i="15"/>
  <c r="V14" i="15"/>
  <c r="Y12" i="15"/>
  <c r="Y11" i="15"/>
  <c r="Y9" i="15"/>
  <c r="Y7" i="15"/>
  <c r="U14" i="15"/>
  <c r="X12" i="15"/>
  <c r="X6" i="15"/>
  <c r="X7" i="15"/>
  <c r="X8" i="15"/>
  <c r="X9" i="15"/>
  <c r="X10" i="15"/>
  <c r="X11" i="15"/>
  <c r="X14" i="15"/>
  <c r="T14" i="15"/>
  <c r="W12" i="15"/>
  <c r="W21" i="15"/>
  <c r="U22" i="15"/>
  <c r="W22" i="15"/>
  <c r="U23" i="15"/>
  <c r="W23" i="15"/>
  <c r="U24" i="15"/>
  <c r="W24" i="15"/>
  <c r="U25" i="15"/>
  <c r="W25" i="15"/>
  <c r="T25" i="15"/>
  <c r="V25" i="15"/>
  <c r="T24" i="15"/>
  <c r="V24" i="15"/>
  <c r="T23" i="15"/>
  <c r="V23" i="15"/>
  <c r="T22" i="15"/>
  <c r="V22" i="15"/>
  <c r="T21" i="15"/>
  <c r="V21" i="15"/>
  <c r="O11" i="11"/>
  <c r="O9" i="11"/>
  <c r="O10" i="11"/>
  <c r="M12" i="11"/>
  <c r="E8" i="12"/>
  <c r="M11" i="11"/>
  <c r="N11" i="11"/>
  <c r="D8" i="12"/>
  <c r="M10" i="11"/>
  <c r="N10" i="11"/>
  <c r="C8" i="12"/>
  <c r="M9" i="11"/>
  <c r="N9" i="11"/>
  <c r="B15" i="11"/>
  <c r="I15" i="11"/>
  <c r="C15" i="11"/>
  <c r="D15" i="11"/>
  <c r="E15" i="11"/>
  <c r="B16" i="11"/>
  <c r="C56" i="1"/>
  <c r="C11" i="2"/>
  <c r="D11" i="2"/>
  <c r="C10" i="3"/>
  <c r="D10" i="3"/>
  <c r="E10" i="3"/>
  <c r="F10" i="3"/>
  <c r="G10" i="3"/>
  <c r="H10" i="3"/>
  <c r="I10" i="3"/>
  <c r="J10" i="3"/>
  <c r="K10" i="3"/>
  <c r="L10" i="3"/>
  <c r="M10" i="3"/>
  <c r="N10" i="3"/>
  <c r="O10" i="3"/>
  <c r="B11" i="2"/>
  <c r="H18" i="6"/>
  <c r="H19" i="6"/>
  <c r="H20" i="6"/>
  <c r="H21" i="6"/>
  <c r="H22" i="6"/>
  <c r="H23" i="6"/>
  <c r="H24" i="6"/>
  <c r="H25" i="6"/>
  <c r="H26" i="6"/>
  <c r="H27" i="6"/>
  <c r="H28" i="6"/>
  <c r="H29" i="6"/>
  <c r="I18" i="6"/>
  <c r="C63" i="1"/>
  <c r="C62" i="1"/>
  <c r="C61" i="1"/>
  <c r="C60" i="1"/>
  <c r="C59" i="1"/>
  <c r="C58" i="1"/>
  <c r="C57" i="1"/>
  <c r="C55" i="1"/>
  <c r="B55" i="1"/>
  <c r="B61" i="1"/>
  <c r="B60" i="1"/>
  <c r="B59" i="1"/>
  <c r="B58" i="1"/>
  <c r="B57" i="1"/>
  <c r="B56" i="1"/>
  <c r="B20" i="2"/>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I126" i="6"/>
  <c r="H125" i="6"/>
  <c r="H124" i="6"/>
  <c r="H123" i="6"/>
  <c r="H122" i="6"/>
  <c r="H121" i="6"/>
  <c r="H120" i="6"/>
  <c r="H119" i="6"/>
  <c r="H118" i="6"/>
  <c r="H117" i="6"/>
  <c r="H116" i="6"/>
  <c r="H115" i="6"/>
  <c r="J18" i="6"/>
  <c r="J30" i="6"/>
  <c r="J42" i="6"/>
  <c r="J54" i="6"/>
  <c r="J66" i="6"/>
  <c r="J78" i="6"/>
  <c r="J90" i="6"/>
  <c r="J102" i="6"/>
  <c r="J114" i="6"/>
  <c r="H114" i="6"/>
  <c r="I114" i="6"/>
  <c r="H113" i="6"/>
  <c r="H112" i="6"/>
  <c r="H111" i="6"/>
  <c r="H110" i="6"/>
  <c r="H109" i="6"/>
  <c r="H108" i="6"/>
  <c r="H107" i="6"/>
  <c r="H106" i="6"/>
  <c r="H105" i="6"/>
  <c r="H104" i="6"/>
  <c r="H103" i="6"/>
  <c r="H102" i="6"/>
  <c r="I102" i="6"/>
  <c r="H101" i="6"/>
  <c r="H100" i="6"/>
  <c r="H99" i="6"/>
  <c r="H98" i="6"/>
  <c r="H97" i="6"/>
  <c r="H96" i="6"/>
  <c r="H95" i="6"/>
  <c r="H94" i="6"/>
  <c r="H93" i="6"/>
  <c r="H92" i="6"/>
  <c r="H91" i="6"/>
  <c r="H90" i="6"/>
  <c r="I90" i="6"/>
  <c r="H89" i="6"/>
  <c r="H88" i="6"/>
  <c r="H87" i="6"/>
  <c r="H86" i="6"/>
  <c r="H85" i="6"/>
  <c r="H84" i="6"/>
  <c r="H83" i="6"/>
  <c r="H82" i="6"/>
  <c r="H81" i="6"/>
  <c r="H80" i="6"/>
  <c r="H79" i="6"/>
  <c r="H78" i="6"/>
  <c r="I78" i="6"/>
  <c r="H77" i="6"/>
  <c r="H76" i="6"/>
  <c r="H75" i="6"/>
  <c r="H74" i="6"/>
  <c r="H73" i="6"/>
  <c r="H72" i="6"/>
  <c r="H71" i="6"/>
  <c r="H70" i="6"/>
  <c r="H69" i="6"/>
  <c r="H68" i="6"/>
  <c r="H67" i="6"/>
  <c r="H66" i="6"/>
  <c r="I66" i="6"/>
  <c r="H65" i="6"/>
  <c r="H64" i="6"/>
  <c r="H63" i="6"/>
  <c r="H62" i="6"/>
  <c r="H61" i="6"/>
  <c r="H60" i="6"/>
  <c r="H59" i="6"/>
  <c r="H58" i="6"/>
  <c r="H57" i="6"/>
  <c r="H56" i="6"/>
  <c r="H55" i="6"/>
  <c r="H54" i="6"/>
  <c r="I54" i="6"/>
  <c r="H53" i="6"/>
  <c r="H52" i="6"/>
  <c r="H51" i="6"/>
  <c r="H50" i="6"/>
  <c r="H49" i="6"/>
  <c r="H48" i="6"/>
  <c r="H47" i="6"/>
  <c r="H46" i="6"/>
  <c r="H45" i="6"/>
  <c r="H44" i="6"/>
  <c r="H43" i="6"/>
  <c r="H42" i="6"/>
  <c r="I42" i="6"/>
  <c r="H5" i="6"/>
  <c r="H4" i="6"/>
  <c r="Y196" i="5"/>
  <c r="O196" i="5"/>
  <c r="Q196" i="5"/>
  <c r="S196" i="5"/>
  <c r="U196" i="5"/>
  <c r="W196" i="5"/>
  <c r="M197" i="5"/>
  <c r="M196" i="5"/>
  <c r="D196" i="5"/>
  <c r="F196" i="5"/>
  <c r="H196" i="5"/>
  <c r="B196" i="5"/>
  <c r="B8" i="5"/>
  <c r="H61" i="5"/>
  <c r="J61" i="5"/>
  <c r="B9" i="5"/>
  <c r="L61" i="5"/>
  <c r="N61" i="5"/>
  <c r="O59" i="5"/>
  <c r="O58" i="5"/>
  <c r="O57" i="5"/>
  <c r="O56" i="5"/>
  <c r="O55" i="5"/>
  <c r="O54" i="5"/>
  <c r="O53" i="5"/>
  <c r="O52" i="5"/>
  <c r="O51" i="5"/>
  <c r="O50" i="5"/>
  <c r="O49" i="5"/>
  <c r="O48" i="5"/>
  <c r="O47" i="5"/>
  <c r="O46" i="5"/>
  <c r="O45" i="5"/>
  <c r="O44" i="5"/>
  <c r="O43" i="5"/>
  <c r="O42" i="5"/>
  <c r="M59" i="5"/>
  <c r="M58" i="5"/>
  <c r="M57" i="5"/>
  <c r="M56" i="5"/>
  <c r="M55" i="5"/>
  <c r="M54" i="5"/>
  <c r="M53" i="5"/>
  <c r="M52" i="5"/>
  <c r="M51" i="5"/>
  <c r="M50" i="5"/>
  <c r="M49" i="5"/>
  <c r="M48" i="5"/>
  <c r="M47" i="5"/>
  <c r="M46" i="5"/>
  <c r="M45" i="5"/>
  <c r="M44" i="5"/>
  <c r="M43" i="5"/>
  <c r="M42" i="5"/>
  <c r="K59" i="5"/>
  <c r="K58" i="5"/>
  <c r="K57" i="5"/>
  <c r="K56" i="5"/>
  <c r="K55" i="5"/>
  <c r="K54" i="5"/>
  <c r="K53" i="5"/>
  <c r="K52" i="5"/>
  <c r="K51" i="5"/>
  <c r="K50" i="5"/>
  <c r="K48" i="5"/>
  <c r="K47" i="5"/>
  <c r="K46" i="5"/>
  <c r="K45" i="5"/>
  <c r="K44" i="5"/>
  <c r="K43" i="5"/>
  <c r="K42" i="5"/>
  <c r="I59" i="5"/>
  <c r="I58" i="5"/>
  <c r="I57" i="5"/>
  <c r="I56" i="5"/>
  <c r="I55" i="5"/>
  <c r="I54" i="5"/>
  <c r="I53" i="5"/>
  <c r="I52" i="5"/>
  <c r="I51" i="5"/>
  <c r="I50" i="5"/>
  <c r="I49" i="5"/>
  <c r="I48" i="5"/>
  <c r="I47" i="5"/>
  <c r="I46" i="5"/>
  <c r="I45" i="5"/>
  <c r="I44" i="5"/>
  <c r="I43" i="5"/>
  <c r="I42" i="5"/>
  <c r="G59" i="5"/>
  <c r="G58" i="5"/>
  <c r="G57" i="5"/>
  <c r="G56" i="5"/>
  <c r="G55" i="5"/>
  <c r="G54" i="5"/>
  <c r="G53" i="5"/>
  <c r="G52" i="5"/>
  <c r="G51" i="5"/>
  <c r="G50" i="5"/>
  <c r="G49" i="5"/>
  <c r="G48" i="5"/>
  <c r="G47" i="5"/>
  <c r="G46" i="5"/>
  <c r="G45" i="5"/>
  <c r="G44" i="5"/>
  <c r="G43" i="5"/>
  <c r="G42" i="5"/>
  <c r="E59" i="5"/>
  <c r="E58" i="5"/>
  <c r="E57" i="5"/>
  <c r="E56" i="5"/>
  <c r="E55" i="5"/>
  <c r="E54" i="5"/>
  <c r="E53" i="5"/>
  <c r="E52" i="5"/>
  <c r="E51" i="5"/>
  <c r="E50" i="5"/>
  <c r="E49" i="5"/>
  <c r="E48" i="5"/>
  <c r="E47" i="5"/>
  <c r="E46" i="5"/>
  <c r="E45" i="5"/>
  <c r="E44" i="5"/>
  <c r="E43" i="5"/>
  <c r="E42" i="5"/>
  <c r="C42" i="5"/>
  <c r="C59" i="5"/>
  <c r="C58" i="5"/>
  <c r="C57" i="5"/>
  <c r="C56" i="5"/>
  <c r="C55" i="5"/>
  <c r="C54" i="5"/>
  <c r="C53" i="5"/>
  <c r="C52" i="5"/>
  <c r="C51" i="5"/>
  <c r="C50" i="5"/>
  <c r="C49" i="5"/>
  <c r="C48" i="5"/>
  <c r="C47" i="5"/>
  <c r="C46" i="5"/>
  <c r="C45" i="5"/>
  <c r="C44" i="5"/>
  <c r="C43" i="5"/>
  <c r="G61" i="5"/>
  <c r="B61" i="5"/>
  <c r="W40" i="1"/>
  <c r="W39" i="1"/>
  <c r="W38" i="1"/>
  <c r="W37" i="1"/>
  <c r="W36" i="1"/>
  <c r="W35" i="1"/>
  <c r="W34" i="1"/>
  <c r="W33" i="1"/>
  <c r="V32" i="1"/>
  <c r="W32" i="1"/>
  <c r="V31" i="1"/>
  <c r="W31" i="1"/>
  <c r="C50" i="1"/>
  <c r="C49" i="1"/>
  <c r="C48" i="1"/>
  <c r="C47" i="1"/>
  <c r="C46" i="1"/>
  <c r="C45" i="1"/>
  <c r="C44" i="1"/>
  <c r="C43" i="1"/>
  <c r="C42" i="1"/>
  <c r="C41" i="1"/>
  <c r="N31" i="1"/>
  <c r="N32" i="1"/>
  <c r="F10" i="2"/>
  <c r="C10" i="2"/>
  <c r="B10" i="2"/>
  <c r="D10" i="2"/>
  <c r="C20" i="2"/>
  <c r="F20" i="2"/>
  <c r="E20" i="2"/>
  <c r="D20" i="2"/>
  <c r="N17" i="4"/>
  <c r="N16" i="4"/>
  <c r="N14" i="4"/>
  <c r="N8" i="4"/>
  <c r="N7" i="4"/>
  <c r="N5" i="4"/>
  <c r="F38" i="1"/>
  <c r="F37" i="1"/>
  <c r="K10" i="1"/>
  <c r="J10" i="1"/>
  <c r="D21" i="26"/>
  <c r="D23" i="26"/>
  <c r="W6" i="15"/>
  <c r="W7" i="15"/>
  <c r="W8" i="15"/>
  <c r="W9" i="15"/>
  <c r="W10" i="15"/>
  <c r="W11" i="15"/>
  <c r="Y6" i="15"/>
  <c r="Y8" i="15"/>
  <c r="Y10" i="15"/>
  <c r="F14" i="15"/>
  <c r="F15" i="15"/>
  <c r="F16" i="15"/>
  <c r="F17" i="15"/>
  <c r="H17" i="15"/>
  <c r="F18" i="15"/>
  <c r="H18" i="15"/>
  <c r="F19" i="15"/>
  <c r="H19" i="15"/>
  <c r="F20" i="15"/>
  <c r="H20" i="15"/>
  <c r="F21" i="15"/>
  <c r="H21" i="15"/>
  <c r="O12" i="11"/>
  <c r="O61" i="5"/>
  <c r="C61" i="5"/>
  <c r="I61" i="5"/>
  <c r="K61" i="5"/>
  <c r="B10" i="5"/>
  <c r="B11" i="5"/>
  <c r="E61" i="5"/>
  <c r="M61" i="5"/>
  <c r="B197" i="5"/>
  <c r="D40" i="19"/>
  <c r="B7" i="19"/>
  <c r="F47" i="19"/>
  <c r="D15" i="7"/>
  <c r="E5" i="29"/>
  <c r="N57" i="10"/>
  <c r="H15" i="7"/>
  <c r="C15" i="7"/>
  <c r="Y14" i="15"/>
  <c r="W14" i="15"/>
  <c r="C11" i="5"/>
  <c r="C8" i="5"/>
  <c r="C9" i="5"/>
  <c r="C10" i="5"/>
  <c r="D5" i="29"/>
  <c r="D8" i="29"/>
  <c r="E7" i="29"/>
  <c r="E11" i="29"/>
  <c r="E17" i="29"/>
  <c r="E18" i="29"/>
  <c r="D10" i="29"/>
  <c r="D11" i="29"/>
  <c r="D17" i="29"/>
  <c r="D18" i="29"/>
  <c r="D19" i="29"/>
  <c r="E8" i="29"/>
  <c r="E10" i="29"/>
  <c r="E19" i="29"/>
  <c r="N12" i="11"/>
  <c r="B32" i="11"/>
  <c r="B33" i="11"/>
  <c r="B65" i="11"/>
  <c r="C65" i="11"/>
  <c r="D12" i="10"/>
  <c r="D13" i="10"/>
  <c r="F12" i="10"/>
  <c r="F13" i="10"/>
  <c r="H12" i="10"/>
  <c r="H13" i="10"/>
  <c r="B13" i="10"/>
  <c r="B12" i="10"/>
  <c r="B14" i="10"/>
  <c r="B28" i="10"/>
  <c r="B29" i="10"/>
  <c r="B30" i="10"/>
  <c r="B86" i="15"/>
  <c r="B87" i="15"/>
  <c r="E6" i="38"/>
  <c r="E8" i="38"/>
  <c r="B68" i="15"/>
  <c r="D14" i="10"/>
  <c r="D28" i="10"/>
  <c r="D33" i="10"/>
  <c r="F14" i="10"/>
  <c r="F28" i="10"/>
  <c r="F33" i="10"/>
  <c r="H14" i="10"/>
  <c r="H28" i="10"/>
  <c r="H33" i="10"/>
  <c r="B33" i="10"/>
  <c r="B69" i="15"/>
  <c r="A10" i="26"/>
  <c r="C10" i="26"/>
  <c r="A11" i="26"/>
  <c r="D27" i="26"/>
  <c r="D28" i="26"/>
  <c r="D29" i="26"/>
  <c r="B54" i="10"/>
  <c r="B70" i="15"/>
  <c r="B73" i="15"/>
  <c r="B75" i="15"/>
  <c r="C68" i="15"/>
  <c r="C69" i="15"/>
  <c r="D54" i="10"/>
  <c r="C70" i="15"/>
  <c r="C73" i="15"/>
  <c r="C75" i="15"/>
  <c r="D68" i="15"/>
  <c r="D69" i="15"/>
  <c r="F54" i="10"/>
  <c r="D70" i="15"/>
  <c r="D73" i="15"/>
  <c r="D75" i="15"/>
  <c r="E68" i="15"/>
  <c r="E69" i="15"/>
  <c r="H54" i="10"/>
  <c r="E70" i="15"/>
  <c r="E73" i="15"/>
  <c r="E75" i="15"/>
  <c r="H29" i="10"/>
  <c r="H30" i="10"/>
  <c r="F29" i="10"/>
  <c r="F30" i="10"/>
  <c r="D29" i="10"/>
  <c r="D30" i="10"/>
  <c r="B56" i="10"/>
  <c r="B48" i="10"/>
  <c r="B50" i="10"/>
  <c r="D26" i="26"/>
  <c r="D25" i="26"/>
  <c r="L12" i="11"/>
  <c r="D48" i="10"/>
  <c r="D50" i="10"/>
  <c r="F48" i="10"/>
  <c r="F50" i="10"/>
  <c r="H48" i="10"/>
  <c r="H50" i="10"/>
  <c r="D56" i="10"/>
  <c r="F56" i="10"/>
  <c r="H56" i="10"/>
  <c r="C11" i="26"/>
  <c r="D32" i="26"/>
  <c r="B89" i="15"/>
  <c r="B90" i="15"/>
  <c r="B19" i="22"/>
  <c r="B20" i="22"/>
  <c r="F4" i="16"/>
  <c r="F34" i="16"/>
</calcChain>
</file>

<file path=xl/sharedStrings.xml><?xml version="1.0" encoding="utf-8"?>
<sst xmlns="http://schemas.openxmlformats.org/spreadsheetml/2006/main" count="3842" uniqueCount="1933">
  <si>
    <t>VISITOR STATISTICS</t>
  </si>
  <si>
    <t>(a)</t>
  </si>
  <si>
    <t>VISITOR TREND BY CATEGORY</t>
  </si>
  <si>
    <t>CATEGORY</t>
  </si>
  <si>
    <t>2003/2004</t>
  </si>
  <si>
    <t>2004/2005</t>
  </si>
  <si>
    <t>2005/2006</t>
  </si>
  <si>
    <t>2006/2007</t>
  </si>
  <si>
    <t>2007/2008</t>
  </si>
  <si>
    <t>2008/2009</t>
  </si>
  <si>
    <t>2009/2010</t>
  </si>
  <si>
    <t>2010/2011</t>
  </si>
  <si>
    <t>2011/2012</t>
  </si>
  <si>
    <t>JUL-DEC, 2012</t>
  </si>
  <si>
    <t>Paying</t>
  </si>
  <si>
    <t>Education</t>
  </si>
  <si>
    <t>Official</t>
  </si>
  <si>
    <t>Private</t>
  </si>
  <si>
    <t>TOTAL</t>
  </si>
  <si>
    <t>(b)</t>
  </si>
  <si>
    <t xml:space="preserve">                 VISITOR TREND BY CONTINENT</t>
  </si>
  <si>
    <t>CONTINENT</t>
  </si>
  <si>
    <t>Malawi</t>
  </si>
  <si>
    <t>Africa</t>
  </si>
  <si>
    <t>America</t>
  </si>
  <si>
    <t>Europe</t>
  </si>
  <si>
    <t>Asia</t>
  </si>
  <si>
    <t>REVENUE COLLECTION</t>
  </si>
  <si>
    <t>YEAR/TYPE OF FEE</t>
  </si>
  <si>
    <t>Park Entry Fees</t>
  </si>
  <si>
    <t>Concession Fees</t>
  </si>
  <si>
    <t>Shop Sales</t>
  </si>
  <si>
    <t>Sale of Game Meat</t>
  </si>
  <si>
    <t>Total</t>
  </si>
  <si>
    <t>July 2012 - Dec 2012</t>
  </si>
  <si>
    <t>July 2011 - June 2012</t>
  </si>
  <si>
    <t>July 2010 - June 2011</t>
  </si>
  <si>
    <t>July 2009 - June 2010</t>
  </si>
  <si>
    <t>July 2008 - June 2009</t>
  </si>
  <si>
    <t>July 2007 - June 2008</t>
  </si>
  <si>
    <t>July 2006-June 2007</t>
  </si>
  <si>
    <t>July 2005-June 2006</t>
  </si>
  <si>
    <t>VISITORS PER CATEGORY</t>
  </si>
  <si>
    <t>VISITOR BY CONTINENT/FY 2011-12</t>
  </si>
  <si>
    <t>Category</t>
  </si>
  <si>
    <t>Number (July to Dec 12)</t>
  </si>
  <si>
    <t>2011 . 12</t>
  </si>
  <si>
    <t>2010 . 11</t>
  </si>
  <si>
    <t>Continent</t>
  </si>
  <si>
    <t>Park gate</t>
  </si>
  <si>
    <t xml:space="preserve">Education </t>
  </si>
  <si>
    <t>private</t>
  </si>
  <si>
    <t>Game Meat Sales</t>
  </si>
  <si>
    <t>Firewood Sales</t>
  </si>
  <si>
    <t>Note: Kayak Africa has not yet paid concession and park entry fees for November and December 2012</t>
  </si>
  <si>
    <t>Revenue Collection(MK) Lowershire Division January 2012 - August 2012</t>
  </si>
  <si>
    <t>Parameter</t>
  </si>
  <si>
    <t>January</t>
  </si>
  <si>
    <t>February</t>
  </si>
  <si>
    <t>March</t>
  </si>
  <si>
    <t>April</t>
  </si>
  <si>
    <t>May</t>
  </si>
  <si>
    <t>June</t>
  </si>
  <si>
    <t>July</t>
  </si>
  <si>
    <t>August</t>
  </si>
  <si>
    <t>September</t>
  </si>
  <si>
    <t>October</t>
  </si>
  <si>
    <t>November</t>
  </si>
  <si>
    <t>December</t>
  </si>
  <si>
    <t>Park entry fees</t>
  </si>
  <si>
    <t>Concession fees</t>
  </si>
  <si>
    <t>Game meat sales</t>
  </si>
  <si>
    <t>Game licence</t>
  </si>
  <si>
    <t>Firewood sales</t>
  </si>
  <si>
    <t>Guiding fees</t>
  </si>
  <si>
    <t>Totals</t>
  </si>
  <si>
    <t>VISITORS DATA FOR PAYING IN VISITORS ONLY IN NYIKA NATIONAL PARK</t>
  </si>
  <si>
    <t>YEAR</t>
  </si>
  <si>
    <t>JAN</t>
  </si>
  <si>
    <t>FEB</t>
  </si>
  <si>
    <t>MAR</t>
  </si>
  <si>
    <t>APR</t>
  </si>
  <si>
    <t>MAY</t>
  </si>
  <si>
    <t>JUN</t>
  </si>
  <si>
    <t>JUL</t>
  </si>
  <si>
    <t>AUG</t>
  </si>
  <si>
    <t>SEPT</t>
  </si>
  <si>
    <t>OCT</t>
  </si>
  <si>
    <t>NOV</t>
  </si>
  <si>
    <t>DEC</t>
  </si>
  <si>
    <t>TOTALS</t>
  </si>
  <si>
    <t>REVENUE COLLECTION FOR PARK ENTRY AND LANDING FEES IN NYIKA NATIONAL PARK</t>
  </si>
  <si>
    <t>39,620,</t>
  </si>
  <si>
    <t>NOTE:Flying in visitors entry and landing fees have been included from April 2011 to December 2011</t>
  </si>
  <si>
    <t>in italics figures</t>
  </si>
  <si>
    <t>Park Entry Fees - kwacha</t>
  </si>
  <si>
    <t>Park Entry Fees - USD</t>
  </si>
  <si>
    <t>Paying:  park entry gate</t>
  </si>
  <si>
    <t xml:space="preserve">               kayak Africa</t>
  </si>
  <si>
    <t>Lake Malawi</t>
  </si>
  <si>
    <t>Payment per visitor:</t>
  </si>
  <si>
    <t>% foreign</t>
  </si>
  <si>
    <r>
      <t xml:space="preserve">NOTE: </t>
    </r>
    <r>
      <rPr>
        <sz val="12"/>
        <color theme="1"/>
        <rFont val="Calibri"/>
        <family val="2"/>
        <scheme val="minor"/>
      </rPr>
      <t>Numbers of flying in visitors have been included from April 2011 to December 2011 in italics figures</t>
    </r>
  </si>
  <si>
    <t>Reason</t>
  </si>
  <si>
    <t xml:space="preserve"> </t>
  </si>
  <si>
    <t>Holiday or Vacation</t>
  </si>
  <si>
    <t>Work or Business</t>
  </si>
  <si>
    <t>Visit friends or relatives</t>
  </si>
  <si>
    <t>Male</t>
  </si>
  <si>
    <t>Female</t>
  </si>
  <si>
    <t>No.</t>
  </si>
  <si>
    <t>%</t>
  </si>
  <si>
    <t>Chitipa/Chisenga</t>
  </si>
  <si>
    <t>Nkhata Bay/Likoma</t>
  </si>
  <si>
    <t>Kaporo/Songwe</t>
  </si>
  <si>
    <t>Mqocha/Mzuzu</t>
  </si>
  <si>
    <t>Biriwiri/Mlangeni</t>
  </si>
  <si>
    <t>Lilongwe (KIA)</t>
  </si>
  <si>
    <t>Dedza</t>
  </si>
  <si>
    <t>Mchinji/Chimaliro</t>
  </si>
  <si>
    <t>Namizana</t>
  </si>
  <si>
    <t>Salima</t>
  </si>
  <si>
    <t>Muloza</t>
  </si>
  <si>
    <t>Mwanza</t>
  </si>
  <si>
    <t>Nayuchi</t>
  </si>
  <si>
    <t>Chiponde</t>
  </si>
  <si>
    <t>Chileka</t>
  </si>
  <si>
    <t>Nsanje/Marka</t>
  </si>
  <si>
    <t>Zomba</t>
  </si>
  <si>
    <t>Holiday</t>
  </si>
  <si>
    <t>Work</t>
  </si>
  <si>
    <t>VFR</t>
  </si>
  <si>
    <t>Reason for visit</t>
  </si>
  <si>
    <t>Total Expenditure</t>
  </si>
  <si>
    <t>Air</t>
  </si>
  <si>
    <t>Road</t>
  </si>
  <si>
    <t>Rail</t>
  </si>
  <si>
    <t>Water</t>
  </si>
  <si>
    <t>Average Expenditure</t>
  </si>
  <si>
    <t>Country</t>
  </si>
  <si>
    <t>Average number of nights</t>
  </si>
  <si>
    <t>Afghanistan</t>
  </si>
  <si>
    <t>Angola</t>
  </si>
  <si>
    <t>Argentina</t>
  </si>
  <si>
    <t>Australia</t>
  </si>
  <si>
    <t>Austria</t>
  </si>
  <si>
    <t>Bahamas</t>
  </si>
  <si>
    <t>Bangladesh</t>
  </si>
  <si>
    <t>Barbados</t>
  </si>
  <si>
    <t>Belgium</t>
  </si>
  <si>
    <t>Botswana</t>
  </si>
  <si>
    <t>Brazil</t>
  </si>
  <si>
    <t>Belize</t>
  </si>
  <si>
    <t>British Indian Ocean Territory</t>
  </si>
  <si>
    <t>British Virgin Islands</t>
  </si>
  <si>
    <t>Burundi</t>
  </si>
  <si>
    <t>Cambodia</t>
  </si>
  <si>
    <t>Cameroon</t>
  </si>
  <si>
    <t>Canada</t>
  </si>
  <si>
    <t>Sri Lanka</t>
  </si>
  <si>
    <t>China</t>
  </si>
  <si>
    <t>Congo</t>
  </si>
  <si>
    <t>Congo-Zaire</t>
  </si>
  <si>
    <t>Cyprus</t>
  </si>
  <si>
    <t>Czech Republic</t>
  </si>
  <si>
    <t>Denmark</t>
  </si>
  <si>
    <t>Ethiopia</t>
  </si>
  <si>
    <t>Estonia</t>
  </si>
  <si>
    <t>Finland</t>
  </si>
  <si>
    <t>France</t>
  </si>
  <si>
    <t>Djibouti</t>
  </si>
  <si>
    <t>Gabon</t>
  </si>
  <si>
    <t>Gambia</t>
  </si>
  <si>
    <t>Germany</t>
  </si>
  <si>
    <t>Ghana</t>
  </si>
  <si>
    <t>Greece</t>
  </si>
  <si>
    <t>Guinea</t>
  </si>
  <si>
    <t>Honduras</t>
  </si>
  <si>
    <t>Hong Kong</t>
  </si>
  <si>
    <t>Hungary</t>
  </si>
  <si>
    <t>Iceland</t>
  </si>
  <si>
    <t>India</t>
  </si>
  <si>
    <t>Iran, Islamic Republic of</t>
  </si>
  <si>
    <t>Ireland</t>
  </si>
  <si>
    <t>Israel</t>
  </si>
  <si>
    <t>Italy</t>
  </si>
  <si>
    <t>Cote d Ivoire</t>
  </si>
  <si>
    <t>Jamaica</t>
  </si>
  <si>
    <t>Japan</t>
  </si>
  <si>
    <t>Kazakhstan</t>
  </si>
  <si>
    <t>Kenya</t>
  </si>
  <si>
    <t>Korea, Democratic Peoples Republic</t>
  </si>
  <si>
    <t>Korea, Republic of</t>
  </si>
  <si>
    <t>Kuwait</t>
  </si>
  <si>
    <t>Lebanon</t>
  </si>
  <si>
    <t>Lesotho</t>
  </si>
  <si>
    <t>Libyan, Arab Jamhiriya</t>
  </si>
  <si>
    <t>Luxembourg</t>
  </si>
  <si>
    <t>Madagascar</t>
  </si>
  <si>
    <t>Malaysia</t>
  </si>
  <si>
    <t>Mali</t>
  </si>
  <si>
    <t>Malta</t>
  </si>
  <si>
    <t>Martinique</t>
  </si>
  <si>
    <t>Mauritania</t>
  </si>
  <si>
    <t>Mauritius</t>
  </si>
  <si>
    <t>Mexico</t>
  </si>
  <si>
    <t>Morocco</t>
  </si>
  <si>
    <t>Mozambique</t>
  </si>
  <si>
    <t>Oman</t>
  </si>
  <si>
    <t>Namibia</t>
  </si>
  <si>
    <t>Nepal</t>
  </si>
  <si>
    <t>Netherlands Holland</t>
  </si>
  <si>
    <t>New Zealand</t>
  </si>
  <si>
    <t>Nigeria</t>
  </si>
  <si>
    <t>Norway</t>
  </si>
  <si>
    <t>Marshall Islands</t>
  </si>
  <si>
    <t>Pakistan</t>
  </si>
  <si>
    <t>Paraguay</t>
  </si>
  <si>
    <t>Peru</t>
  </si>
  <si>
    <t>Philippines</t>
  </si>
  <si>
    <t>Poland</t>
  </si>
  <si>
    <t>Portugal</t>
  </si>
  <si>
    <t>Romania</t>
  </si>
  <si>
    <t>Russian Federation</t>
  </si>
  <si>
    <t>Rwanda</t>
  </si>
  <si>
    <t>Saudi Arabia</t>
  </si>
  <si>
    <t>Senegal</t>
  </si>
  <si>
    <t>Seychelles</t>
  </si>
  <si>
    <t>Sierra Leone</t>
  </si>
  <si>
    <t>Singapore</t>
  </si>
  <si>
    <t>Slovenia</t>
  </si>
  <si>
    <t>Somalia</t>
  </si>
  <si>
    <t>South Africa</t>
  </si>
  <si>
    <t>Zimbabwe</t>
  </si>
  <si>
    <t>Spain</t>
  </si>
  <si>
    <t>Sudan</t>
  </si>
  <si>
    <t>Swaziland</t>
  </si>
  <si>
    <t>Sweden</t>
  </si>
  <si>
    <t>Switzerland</t>
  </si>
  <si>
    <t>Syrian Arab Republic</t>
  </si>
  <si>
    <t>Thailand</t>
  </si>
  <si>
    <t>Trinidad &amp; Tobago</t>
  </si>
  <si>
    <t>United Arab Emirates</t>
  </si>
  <si>
    <t>Tunisia</t>
  </si>
  <si>
    <t>Turkey</t>
  </si>
  <si>
    <t>Uganda</t>
  </si>
  <si>
    <t>Egypt</t>
  </si>
  <si>
    <t>United Kingdom</t>
  </si>
  <si>
    <t>United Republic of Tanzania</t>
  </si>
  <si>
    <t>United States of America</t>
  </si>
  <si>
    <t>Burkina Faso</t>
  </si>
  <si>
    <t>Yemen</t>
  </si>
  <si>
    <t>Taiwan</t>
  </si>
  <si>
    <t>Yugoslavia</t>
  </si>
  <si>
    <t>Zambia</t>
  </si>
  <si>
    <t>Table 4: Number and proportion of visitors by reason for entry, mode of transportation and total expenditure, 2011</t>
  </si>
  <si>
    <t>Table 5: Number of visitors by country of residence, reason for visit and average number of nights, 2011</t>
  </si>
  <si>
    <t>Table 2: Number and proportion of departing visitors from Malawi by Port of Exit and Reason for Entry and Sex, 2011</t>
  </si>
  <si>
    <t>Period of stay</t>
  </si>
  <si>
    <t>Proportion of persons on prepaid visit</t>
  </si>
  <si>
    <t>1-7 days</t>
  </si>
  <si>
    <t>8-14 days</t>
  </si>
  <si>
    <t>15-45 days</t>
  </si>
  <si>
    <t>46-100 days</t>
  </si>
  <si>
    <t>&gt;100 days</t>
  </si>
  <si>
    <t>Type of accommodation</t>
  </si>
  <si>
    <t>Hotel/Inn/Lodge</t>
  </si>
  <si>
    <t>Private House</t>
  </si>
  <si>
    <t>Rest House</t>
  </si>
  <si>
    <t>Caravan/Camping</t>
  </si>
  <si>
    <t>Table 11: Number of visitors by reason for entry , type of accommodation used and average number of nights spent, 2011</t>
  </si>
  <si>
    <t>Table 6: Proportion and number of visitors by country of residence, length of stay and percentage of prepaid visitors, 2011</t>
  </si>
  <si>
    <t>Source:</t>
  </si>
  <si>
    <t>Malawi Tourism report 2011 (untitled, no author)</t>
  </si>
  <si>
    <t>Provided by Charles Kachelenga, Department of Tourism</t>
  </si>
  <si>
    <t>Purpose of Trip</t>
  </si>
  <si>
    <t>All</t>
  </si>
  <si>
    <t>Exp/cap</t>
  </si>
  <si>
    <t>http://ec.europa.eu/budget/contracts_grants/info_contracts/inforeuro/inforeuro_en.cfm</t>
  </si>
  <si>
    <t>EUR/MWK</t>
  </si>
  <si>
    <t>EUR/USD</t>
  </si>
  <si>
    <t>MWK/USD</t>
  </si>
  <si>
    <t>0,993400</t>
  </si>
  <si>
    <t>0,982500</t>
  </si>
  <si>
    <t>0,977900</t>
  </si>
  <si>
    <t>0,984300</t>
  </si>
  <si>
    <t>0,983500</t>
  </si>
  <si>
    <t>0,982400</t>
  </si>
  <si>
    <t>0,937500</t>
  </si>
  <si>
    <t>0,903800</t>
  </si>
  <si>
    <t>0,874600</t>
  </si>
  <si>
    <t>0,864900</t>
  </si>
  <si>
    <t>0,864200</t>
  </si>
  <si>
    <t>0,882300</t>
  </si>
  <si>
    <t>0,888700</t>
  </si>
  <si>
    <t>0,906400</t>
  </si>
  <si>
    <t>0,920500</t>
  </si>
  <si>
    <t>0,909500</t>
  </si>
  <si>
    <t>0,875100</t>
  </si>
  <si>
    <t>0,851100</t>
  </si>
  <si>
    <t>0,855800</t>
  </si>
  <si>
    <t>0,902300</t>
  </si>
  <si>
    <t>0,884000</t>
  </si>
  <si>
    <t>0,916300</t>
  </si>
  <si>
    <t>0,919700</t>
  </si>
  <si>
    <t>0,928500</t>
  </si>
  <si>
    <t>01/12/00</t>
  </si>
  <si>
    <t>31/12/00</t>
  </si>
  <si>
    <t>0,865000</t>
  </si>
  <si>
    <t>01/11/00</t>
  </si>
  <si>
    <t>30/11/00</t>
  </si>
  <si>
    <t>0,848200</t>
  </si>
  <si>
    <t>01/10/00</t>
  </si>
  <si>
    <t>31/10/00</t>
  </si>
  <si>
    <t>0,883200</t>
  </si>
  <si>
    <t>01/09/00</t>
  </si>
  <si>
    <t>30/09/00</t>
  </si>
  <si>
    <t>0,890900</t>
  </si>
  <si>
    <t>01/08/00</t>
  </si>
  <si>
    <t>31/08/00</t>
  </si>
  <si>
    <t>0,927600</t>
  </si>
  <si>
    <t>01/07/00</t>
  </si>
  <si>
    <t>31/07/00</t>
  </si>
  <si>
    <t>0,950400</t>
  </si>
  <si>
    <t>01/06/00</t>
  </si>
  <si>
    <t>30/06/00</t>
  </si>
  <si>
    <t>0,935900</t>
  </si>
  <si>
    <t>01/05/00</t>
  </si>
  <si>
    <t>31/05/00</t>
  </si>
  <si>
    <t>01/04/00</t>
  </si>
  <si>
    <t>30/04/00</t>
  </si>
  <si>
    <t>0,955500</t>
  </si>
  <si>
    <t>01/03/00</t>
  </si>
  <si>
    <t>31/03/00</t>
  </si>
  <si>
    <t>0,963900</t>
  </si>
  <si>
    <t>01/02/00</t>
  </si>
  <si>
    <t>29/02/00</t>
  </si>
  <si>
    <t>0,984800</t>
  </si>
  <si>
    <t>01/01/00</t>
  </si>
  <si>
    <t>31/01/00</t>
  </si>
  <si>
    <t>01/12/99</t>
  </si>
  <si>
    <t>31/12/99</t>
  </si>
  <si>
    <t>01/11/99</t>
  </si>
  <si>
    <t>30/11/99</t>
  </si>
  <si>
    <t>01/10/99</t>
  </si>
  <si>
    <t>31/10/99</t>
  </si>
  <si>
    <t>01/09/99</t>
  </si>
  <si>
    <t>30/09/99</t>
  </si>
  <si>
    <t>01/08/99</t>
  </si>
  <si>
    <t>31/08/99</t>
  </si>
  <si>
    <t>01/07/99</t>
  </si>
  <si>
    <t>31/07/99</t>
  </si>
  <si>
    <t>01/06/99</t>
  </si>
  <si>
    <t>30/06/99</t>
  </si>
  <si>
    <t>01/05/99</t>
  </si>
  <si>
    <t>31/05/99</t>
  </si>
  <si>
    <t>01/04/99</t>
  </si>
  <si>
    <t>30/04/99</t>
  </si>
  <si>
    <t>01/03/99</t>
  </si>
  <si>
    <t>31/03/99</t>
  </si>
  <si>
    <t>01/02/99</t>
  </si>
  <si>
    <t>28/02/99</t>
  </si>
  <si>
    <t>01/01/99</t>
  </si>
  <si>
    <t>31/01/99</t>
  </si>
  <si>
    <t>01/12/98</t>
  </si>
  <si>
    <t>31/12/98</t>
  </si>
  <si>
    <t>ECU/MWK</t>
  </si>
  <si>
    <t>ECU/USD</t>
  </si>
  <si>
    <t>01/11/98</t>
  </si>
  <si>
    <t>30/11/98</t>
  </si>
  <si>
    <t>01/10/98</t>
  </si>
  <si>
    <t>31/10/98</t>
  </si>
  <si>
    <t>01/09/98</t>
  </si>
  <si>
    <t>30/09/98</t>
  </si>
  <si>
    <t>01/08/98</t>
  </si>
  <si>
    <t>31/08/98</t>
  </si>
  <si>
    <t>01/07/98</t>
  </si>
  <si>
    <t>31/07/98</t>
  </si>
  <si>
    <t>01/06/98</t>
  </si>
  <si>
    <t>30/06/98</t>
  </si>
  <si>
    <t>01/05/98</t>
  </si>
  <si>
    <t>31/05/98</t>
  </si>
  <si>
    <t>01/04/98</t>
  </si>
  <si>
    <t>30/04/98</t>
  </si>
  <si>
    <t>01/03/98</t>
  </si>
  <si>
    <t>31/03/98</t>
  </si>
  <si>
    <t>01/02/98</t>
  </si>
  <si>
    <t>28/02/98</t>
  </si>
  <si>
    <t>01/01/98</t>
  </si>
  <si>
    <t>31/01/98</t>
  </si>
  <si>
    <t>01/12/97</t>
  </si>
  <si>
    <t>31/12/97</t>
  </si>
  <si>
    <t>01/11/97</t>
  </si>
  <si>
    <t>30/11/97</t>
  </si>
  <si>
    <t>01/10/97</t>
  </si>
  <si>
    <t>31/10/97</t>
  </si>
  <si>
    <t>01/09/97</t>
  </si>
  <si>
    <t>30/09/97</t>
  </si>
  <si>
    <t>01/08/97</t>
  </si>
  <si>
    <t>31/08/97</t>
  </si>
  <si>
    <t>01/07/97</t>
  </si>
  <si>
    <t>31/07/97</t>
  </si>
  <si>
    <t>01/06/97</t>
  </si>
  <si>
    <t>30/06/97</t>
  </si>
  <si>
    <t>01/05/97</t>
  </si>
  <si>
    <t>31/05/97</t>
  </si>
  <si>
    <t>01/04/97</t>
  </si>
  <si>
    <t>30/04/97</t>
  </si>
  <si>
    <t>01/03/97</t>
  </si>
  <si>
    <t>31/03/97</t>
  </si>
  <si>
    <t>01/02/97</t>
  </si>
  <si>
    <t>28/02/97</t>
  </si>
  <si>
    <t>01/01/97</t>
  </si>
  <si>
    <t>31/01/97</t>
  </si>
  <si>
    <t>01/12/96</t>
  </si>
  <si>
    <t>31/12/96</t>
  </si>
  <si>
    <t>01/11/96</t>
  </si>
  <si>
    <t>30/11/96</t>
  </si>
  <si>
    <t>01/10/96</t>
  </si>
  <si>
    <t>31/10/96</t>
  </si>
  <si>
    <t>01/09/96</t>
  </si>
  <si>
    <t>30/09/96</t>
  </si>
  <si>
    <t>01/08/96</t>
  </si>
  <si>
    <t>31/08/96</t>
  </si>
  <si>
    <t>01/07/96</t>
  </si>
  <si>
    <t>31/07/96</t>
  </si>
  <si>
    <t>01/06/96</t>
  </si>
  <si>
    <t>30/06/96</t>
  </si>
  <si>
    <t>01/05/96</t>
  </si>
  <si>
    <t>31/05/96</t>
  </si>
  <si>
    <t>01/04/96</t>
  </si>
  <si>
    <t>30/04/96</t>
  </si>
  <si>
    <t>01/03/96</t>
  </si>
  <si>
    <t>31/03/96</t>
  </si>
  <si>
    <t>01/02/96</t>
  </si>
  <si>
    <t>29/02/96</t>
  </si>
  <si>
    <t>01/01/96</t>
  </si>
  <si>
    <t>31/01/96</t>
  </si>
  <si>
    <t>01/12/95</t>
  </si>
  <si>
    <t>31/12/95</t>
  </si>
  <si>
    <t>01/11/95</t>
  </si>
  <si>
    <t>30/11/95</t>
  </si>
  <si>
    <t>01/10/95</t>
  </si>
  <si>
    <t>31/10/95</t>
  </si>
  <si>
    <t>01/09/95</t>
  </si>
  <si>
    <t>30/09/95</t>
  </si>
  <si>
    <t>01/08/95</t>
  </si>
  <si>
    <t>31/08/95</t>
  </si>
  <si>
    <t>01/07/95</t>
  </si>
  <si>
    <t>31/07/95</t>
  </si>
  <si>
    <t>01/06/95</t>
  </si>
  <si>
    <t>30/06/95</t>
  </si>
  <si>
    <t>01/05/95</t>
  </si>
  <si>
    <t>31/05/95</t>
  </si>
  <si>
    <t>01/04/95</t>
  </si>
  <si>
    <t>30/04/95</t>
  </si>
  <si>
    <t>01/03/95</t>
  </si>
  <si>
    <t>31/03/95</t>
  </si>
  <si>
    <t>01/02/95</t>
  </si>
  <si>
    <t>28/02/95</t>
  </si>
  <si>
    <t>01/01/95</t>
  </si>
  <si>
    <t>31/01/95</t>
  </si>
  <si>
    <t>01/12/94</t>
  </si>
  <si>
    <t>31/12/94</t>
  </si>
  <si>
    <t>01/11/94</t>
  </si>
  <si>
    <t>30/11/94</t>
  </si>
  <si>
    <t>01/10/94</t>
  </si>
  <si>
    <t>31/10/94</t>
  </si>
  <si>
    <t>01/09/94</t>
  </si>
  <si>
    <t>30/09/94</t>
  </si>
  <si>
    <t>01/08/94</t>
  </si>
  <si>
    <t>31/08/94</t>
  </si>
  <si>
    <t>01/07/94</t>
  </si>
  <si>
    <t>31/07/94</t>
  </si>
  <si>
    <t>01/06/94</t>
  </si>
  <si>
    <t>30/06/94</t>
  </si>
  <si>
    <t>01/05/94</t>
  </si>
  <si>
    <t>31/05/94</t>
  </si>
  <si>
    <t>01/04/94</t>
  </si>
  <si>
    <t>30/04/94</t>
  </si>
  <si>
    <t>01/03/94</t>
  </si>
  <si>
    <t>31/03/94</t>
  </si>
  <si>
    <t>Yearly data</t>
  </si>
  <si>
    <t>Revenue</t>
  </si>
  <si>
    <t>Paying Visitors</t>
  </si>
  <si>
    <t>2012</t>
  </si>
  <si>
    <t>2011</t>
  </si>
  <si>
    <t>2010</t>
  </si>
  <si>
    <t>2009</t>
  </si>
  <si>
    <t>2008</t>
  </si>
  <si>
    <t>2007</t>
  </si>
  <si>
    <t>2006</t>
  </si>
  <si>
    <t>2005</t>
  </si>
  <si>
    <t>2004</t>
  </si>
  <si>
    <t>2003</t>
  </si>
  <si>
    <t>Revenue for 2012 is too low because rates went up Jan 2012</t>
  </si>
  <si>
    <t>paying, total</t>
  </si>
  <si>
    <t>FORM No. 25 (M.P. 219 New)</t>
  </si>
  <si>
    <t>REPUBLIC OF MALAWI</t>
  </si>
  <si>
    <t>IMMIGRATION ACT</t>
  </si>
  <si>
    <t>Regulation 31</t>
  </si>
  <si>
    <t xml:space="preserve"> For Official Use Only</t>
  </si>
  <si>
    <t>EXIT CARD</t>
  </si>
  <si>
    <t>(Please Print)</t>
  </si>
  <si>
    <t>Mr. ....................................................................</t>
  </si>
  <si>
    <t>(surname)</t>
  </si>
  <si>
    <t>Mrs.</t>
  </si>
  <si>
    <t>Miss ....................................................................</t>
  </si>
  <si>
    <t>(first names)</t>
  </si>
  <si>
    <t>Passport Number ....................................................................</t>
  </si>
  <si>
    <t>Place and date of issue ............................................................</t>
  </si>
  <si>
    <t>Place and date of birth ...............................................................</t>
  </si>
  <si>
    <t>Enter number of persons travelling on your passport (including self) in appropriate age group box(es):</t>
  </si>
  <si>
    <t>Age:</t>
  </si>
  <si>
    <t>15 or younger</t>
  </si>
  <si>
    <t>16–24</t>
  </si>
  <si>
    <t>25–34</t>
  </si>
  <si>
    <t>35–49</t>
  </si>
  <si>
    <t>Male:</t>
  </si>
  <si>
    <t>Female:</t>
  </si>
  <si>
    <t>Nationally .....................................................................................</t>
  </si>
  <si>
    <t>Occupation ...................................................................................</t>
  </si>
  <si>
    <t>Address travelling to .....................................................................</t>
  </si>
  <si>
    <t>.....................................................................................................</t>
  </si>
  <si>
    <t>Last address in Malawi ...................................................................</t>
  </si>
  <si>
    <t>For visitors only (Non residents):</t>
  </si>
  <si>
    <t>Country of residence .......................................................................</t>
  </si>
  <si>
    <t>Main reason for visit (Please tick ONE box):</t>
  </si>
  <si>
    <t>Holiday/</t>
  </si>
  <si>
    <t>vacation</t>
  </si>
  <si>
    <t>What type of accommodation did you use in Malawi:</t>
  </si>
  <si>
    <t>Caravan/</t>
  </si>
  <si>
    <t>Camping</t>
  </si>
  <si>
    <t>None</t>
  </si>
  <si>
    <t>Number of nights spent in Malawi ................................................</t>
  </si>
  <si>
    <t>Were you on a prepaid holiday?</t>
  </si>
  <si>
    <t>Yes</t>
  </si>
  <si>
    <t>No</t>
  </si>
  <si>
    <t>I hereby declare that I have answered all the relevant questions correctly and truthfully</t>
  </si>
  <si>
    <t>.....................................</t>
  </si>
  <si>
    <t xml:space="preserve">Signature </t>
  </si>
  <si>
    <t>FOR OFFICIAL USE</t>
  </si>
  <si>
    <t>File ref.</t>
  </si>
  <si>
    <t>Status (sec.)</t>
  </si>
  <si>
    <t>Permit (type)</t>
  </si>
  <si>
    <t>Expiry (date)</t>
  </si>
  <si>
    <t>Passport endorsement</t>
  </si>
  <si>
    <t>Cancelled/not cancelled</t>
  </si>
  <si>
    <t xml:space="preserve">Approximate expenditure in Malawi of all persons included on this card. Exclude amounts for prepaid holidays.................................................... </t>
  </si>
  <si>
    <t>(Please state currency in which you are reporting expenditure)</t>
  </si>
  <si>
    <t>Work/business</t>
  </si>
  <si>
    <t>Visit friends/relatives</t>
  </si>
  <si>
    <t>50 or older</t>
  </si>
  <si>
    <t>Source of expenditure data - questions on exit card:</t>
  </si>
  <si>
    <t>http://www.malawilii.org/mw/legislation/consolidated-act/1503</t>
  </si>
  <si>
    <t>Annual costs:</t>
  </si>
  <si>
    <t>Weed Management  (1)</t>
  </si>
  <si>
    <t>Sediment and Siltation Management  (1)</t>
  </si>
  <si>
    <t>Maintenance &amp; Repairs due to weed, sediment, and silt  (1)</t>
  </si>
  <si>
    <t xml:space="preserve">Malawi </t>
  </si>
  <si>
    <t>Economic Analysis of the Environment and Natural Resources Management Action Plan (ENRMAP) for the Upper Shire Basin</t>
  </si>
  <si>
    <t>RFP MCC 10 0033 60DUNS Number: 29 849 7801</t>
  </si>
  <si>
    <t>Millennium Challenge Corporation</t>
  </si>
  <si>
    <t>6 June, 2011</t>
  </si>
  <si>
    <t>LTS International, Inc.</t>
  </si>
  <si>
    <t>Volume 2:  Economic Analysis of the ENRMAP</t>
  </si>
  <si>
    <t>ESCOM foregone earnings from power outages (2)</t>
  </si>
  <si>
    <t>Losses to electricty consumers (3)</t>
  </si>
  <si>
    <t>(1)  Source:  LTS International, Economic Analysis, pp. 48-50  (LTS, June 2011b)</t>
  </si>
  <si>
    <t>(3) Source:  LTS International, Baseline Analysis (LTS, June 2011a), p. 144</t>
  </si>
  <si>
    <t>These data apply to some year between 2007 and 2009; none of the sources specify the year.</t>
  </si>
  <si>
    <t>Number of households</t>
  </si>
  <si>
    <t>Wood is main fuel</t>
  </si>
  <si>
    <t>Frequency</t>
  </si>
  <si>
    <t>Percent</t>
  </si>
  <si>
    <t>Valid Percent</t>
  </si>
  <si>
    <t>Cumulative Percent</t>
  </si>
  <si>
    <t>Valid</t>
  </si>
  <si>
    <t>Collected firewood</t>
  </si>
  <si>
    <t>Puchased firewood</t>
  </si>
  <si>
    <t>Paraffin</t>
  </si>
  <si>
    <t>Electricity</t>
  </si>
  <si>
    <t>Gas</t>
  </si>
  <si>
    <t>Charcoal</t>
  </si>
  <si>
    <t>Crop residue</t>
  </si>
  <si>
    <t>Saw dust</t>
  </si>
  <si>
    <t>Animal waste</t>
  </si>
  <si>
    <t>Other (specify)</t>
  </si>
  <si>
    <t>Do you ever use firewood for fuel?</t>
  </si>
  <si>
    <r>
      <t>YES..1; NO...2</t>
    </r>
    <r>
      <rPr>
        <b/>
        <sz val="11"/>
        <color rgb="FF000000"/>
        <rFont val="Calibri"/>
      </rPr>
      <t>&gt;&gt;F19</t>
    </r>
  </si>
  <si>
    <t>Missing</t>
  </si>
  <si>
    <t>System</t>
  </si>
  <si>
    <r>
      <t xml:space="preserve">What is the total value of the firewood you used in the </t>
    </r>
    <r>
      <rPr>
        <b/>
        <sz val="11"/>
        <color rgb="FF000000"/>
        <rFont val="Calibri"/>
      </rPr>
      <t>past week</t>
    </r>
    <r>
      <rPr>
        <sz val="11"/>
        <color rgb="FF000000"/>
        <rFont val="Calibri"/>
      </rPr>
      <t>, whether gathered or purchased? (Estimate purchase cost of gathered firewood.) (Value in MK).</t>
    </r>
  </si>
  <si>
    <t>N</t>
  </si>
  <si>
    <t>Minimum</t>
  </si>
  <si>
    <t>Maximum</t>
  </si>
  <si>
    <t>Mean</t>
  </si>
  <si>
    <t>Std. Deviation</t>
  </si>
  <si>
    <t>Valid N (listwise)</t>
  </si>
  <si>
    <t>What is your main source of cooking fuel?</t>
  </si>
  <si>
    <t>Estimates of Fuelwood Use and Value: four sources</t>
  </si>
  <si>
    <t>Data provided in paper:</t>
  </si>
  <si>
    <t>Muuso</t>
  </si>
  <si>
    <t>Kachinijika</t>
  </si>
  <si>
    <t>Chimpuza</t>
  </si>
  <si>
    <t>Magola</t>
  </si>
  <si>
    <t>Headloads/year/hhold</t>
  </si>
  <si>
    <t>Individual consumption per year</t>
  </si>
  <si>
    <t>Number of households surveyed</t>
  </si>
  <si>
    <t>Headload value</t>
  </si>
  <si>
    <t>1996 kwachas</t>
  </si>
  <si>
    <t>Household consumption/year</t>
  </si>
  <si>
    <t>Time spent collecting per week, in hours</t>
  </si>
  <si>
    <t xml:space="preserve">Survey of 30 households, weekly use over a period of 11 months. Weighed househoold fuelwood stockpile each day, plus all wood coming into the household. Seasonal variation in wood use found not to be significant. </t>
  </si>
  <si>
    <t>No. of trips per week</t>
  </si>
  <si>
    <t xml:space="preserve">Total collection/hhold/week </t>
  </si>
  <si>
    <t>Further calculations:</t>
  </si>
  <si>
    <t>Collection/hhold/year</t>
  </si>
  <si>
    <t>Overall avg collection/hhold/yr</t>
  </si>
  <si>
    <t>Weight per headload, kg</t>
  </si>
  <si>
    <t>Average weight/headload</t>
  </si>
  <si>
    <t>weight_headload</t>
  </si>
  <si>
    <t>Rural use (n=2000)</t>
  </si>
  <si>
    <t>Urban use (n=800)</t>
  </si>
  <si>
    <t>Urban use reflects quantity of wood needed to make charcoal</t>
  </si>
  <si>
    <t>Averages used in later calculations</t>
  </si>
  <si>
    <t>Step 4: Data to convert weight to volume</t>
  </si>
  <si>
    <t>Data on miombo species with which to convert weight of fuelwood used to volume</t>
  </si>
  <si>
    <t>Density, kg/m3</t>
  </si>
  <si>
    <t xml:space="preserve">Species </t>
  </si>
  <si>
    <t>mean</t>
  </si>
  <si>
    <t>Combretum apiculatum Sond.</t>
  </si>
  <si>
    <t>Pericopsis angolensis van Meeuwen</t>
  </si>
  <si>
    <t>Combretum molle R. Br. ex Don.</t>
  </si>
  <si>
    <t>Parinari curatellifolia Planch ex Benth.</t>
  </si>
  <si>
    <t xml:space="preserve">Brachystegia floribunda Benth. </t>
  </si>
  <si>
    <t xml:space="preserve">Uapaca kirkiana Muell. Arg. </t>
  </si>
  <si>
    <t>Julbernardia paniculata Benth.</t>
  </si>
  <si>
    <t xml:space="preserve">Bauhenia thonningii Schum. </t>
  </si>
  <si>
    <t>Acacia amythethophylla Steud. ex A. Rich.</t>
  </si>
  <si>
    <t xml:space="preserve">Senna singueana Lock ex Del. </t>
  </si>
  <si>
    <t>Brachystegia longifolia Benth.</t>
  </si>
  <si>
    <t xml:space="preserve">Brachystegia utilis Burtt Davy and Hutch. </t>
  </si>
  <si>
    <t xml:space="preserve">Pseudolachnostylis maprouneifolia Pax. </t>
  </si>
  <si>
    <t xml:space="preserve">Brachystegia spiciformis Benth. </t>
  </si>
  <si>
    <t xml:space="preserve">Brachystegia boehmii Taub. </t>
  </si>
  <si>
    <t>Average</t>
  </si>
  <si>
    <t>Conversion of weight of fuelwood to volume</t>
  </si>
  <si>
    <t>Average kg/m3 for miombo species</t>
  </si>
  <si>
    <t>volume, m3</t>
  </si>
  <si>
    <t>Average used per hhold per year</t>
  </si>
  <si>
    <t>woodvol_hhold_year</t>
  </si>
  <si>
    <t>Individual consumption per week (kg)</t>
  </si>
  <si>
    <t>Consumption per year</t>
  </si>
  <si>
    <t>North</t>
  </si>
  <si>
    <t>Center</t>
  </si>
  <si>
    <t>South</t>
  </si>
  <si>
    <t>Number of people</t>
  </si>
  <si>
    <t>Average household size</t>
  </si>
  <si>
    <t>Source:  Government of Malawi, National Statistical Office, 2008, p.17</t>
  </si>
  <si>
    <t>hhsize</t>
  </si>
  <si>
    <t>hhsize_n</t>
  </si>
  <si>
    <t>hhsize_c</t>
  </si>
  <si>
    <t>hhsize_s</t>
  </si>
  <si>
    <t>Weight of fuelwood per household per year</t>
  </si>
  <si>
    <t>Weight in kg</t>
  </si>
  <si>
    <t>Source:  Data provided by Killy Sichinga, 2005</t>
  </si>
  <si>
    <t>Households</t>
  </si>
  <si>
    <t>Expenditure</t>
  </si>
  <si>
    <t>Wood sometimes used</t>
  </si>
  <si>
    <t>Central Region</t>
  </si>
  <si>
    <t>1 – Dedza</t>
  </si>
  <si>
    <t>2 – Dowa</t>
  </si>
  <si>
    <t>3 – Kasungu</t>
  </si>
  <si>
    <t>4 – Lilongwe</t>
  </si>
  <si>
    <t>5 – Mchinji</t>
  </si>
  <si>
    <t>6 – Nkhotakota</t>
  </si>
  <si>
    <t>7 – Ntcheu</t>
  </si>
  <si>
    <t>8 – Ntchisi</t>
  </si>
  <si>
    <t>9 – Salima</t>
  </si>
  <si>
    <t>Northern Region</t>
  </si>
  <si>
    <t>10 – Chitipa</t>
  </si>
  <si>
    <t>11 – Karonga</t>
  </si>
  <si>
    <t>12 – Likoma</t>
  </si>
  <si>
    <t>14 – Nkhata Bay</t>
  </si>
  <si>
    <t>Southern Region</t>
  </si>
  <si>
    <t>16 – Balaka</t>
  </si>
  <si>
    <t>17 – Blantyre</t>
  </si>
  <si>
    <t>18 – Chikwawa</t>
  </si>
  <si>
    <t>19 – Chiradzulu</t>
  </si>
  <si>
    <t>20 – Machinga</t>
  </si>
  <si>
    <t>21 – Mangochi</t>
  </si>
  <si>
    <t>22 – Mulanje</t>
  </si>
  <si>
    <t>23 – Mwanza</t>
  </si>
  <si>
    <t>24 – Nsanje</t>
  </si>
  <si>
    <t>25 – Thyolo</t>
  </si>
  <si>
    <t>26 – Phalombe</t>
  </si>
  <si>
    <t>Mzuzu City</t>
  </si>
  <si>
    <t>Lilongwe City</t>
  </si>
  <si>
    <t>28 – Neno</t>
  </si>
  <si>
    <t>27 – Zomba Rural</t>
  </si>
  <si>
    <t>Zomba City</t>
  </si>
  <si>
    <t>Blantyre City</t>
  </si>
  <si>
    <t>From:  Government of Malawi, National Statistical Office, 2008, “2008 Population and Housing Census Results: Main Report”  http://www.nsomalawi.mw/index.php?option=com_content&amp;view=article&amp;id=107%3A2008-population-and-housing-census-results&amp;catid=8&amp;Itemid=6  or www.nsomalawi.mw/images/stories/ data_on_line/demography/census_2008/Main%20Report/Census%20Main%20Report.pdf (direct link)</t>
  </si>
  <si>
    <t>Household Fuelwood Use</t>
  </si>
  <si>
    <t>Household Fuelwood Parameters</t>
  </si>
  <si>
    <t>Population Parameters</t>
  </si>
  <si>
    <t>Central</t>
  </si>
  <si>
    <t>Overall</t>
  </si>
  <si>
    <t>Household size</t>
  </si>
  <si>
    <t>Fuelwood use per household</t>
  </si>
  <si>
    <t>Source 5:  Items highlighted in yellow from Owen et al, 2009 (BEST Study), p. 31, Table 11</t>
  </si>
  <si>
    <t>Rural fueiwood use per capita</t>
  </si>
  <si>
    <t>kg/cap/year</t>
  </si>
  <si>
    <t>kg/hhold/year</t>
  </si>
  <si>
    <t>Kg/year/hhold</t>
  </si>
  <si>
    <t>Area of land cover type, in square kilometers</t>
  </si>
  <si>
    <t>Percent of total land cover</t>
  </si>
  <si>
    <t>Forest</t>
  </si>
  <si>
    <t>Crop</t>
  </si>
  <si>
    <t>Grassland</t>
  </si>
  <si>
    <t>Wetland</t>
  </si>
  <si>
    <t>Settlements</t>
  </si>
  <si>
    <t>Other</t>
  </si>
  <si>
    <t>Unclassified</t>
  </si>
  <si>
    <t>total</t>
  </si>
  <si>
    <t xml:space="preserve">Annual change </t>
  </si>
  <si>
    <t>Percent annual change</t>
  </si>
  <si>
    <t>1990-2000</t>
  </si>
  <si>
    <t>2000-2010</t>
  </si>
  <si>
    <t>Growth &amp; Accumulation Rates</t>
  </si>
  <si>
    <t>Of which protected areas</t>
  </si>
  <si>
    <t>Evergreen</t>
  </si>
  <si>
    <t>Miombo woodland</t>
  </si>
  <si>
    <t>Eucalyptus plantation</t>
  </si>
  <si>
    <t>Gmelina plantation</t>
  </si>
  <si>
    <t>Pine plantation</t>
  </si>
  <si>
    <t>Rubber plantation</t>
  </si>
  <si>
    <t>Other plantation</t>
  </si>
  <si>
    <t>Logged areas</t>
  </si>
  <si>
    <t>In 1000s of ha</t>
  </si>
  <si>
    <t>Percents</t>
  </si>
  <si>
    <t>2010 Forest Cover</t>
  </si>
  <si>
    <t>Source:  Asia Air Survey Company, October 2012, p. 76, Table 4.4.</t>
  </si>
  <si>
    <t>Forest type</t>
  </si>
  <si>
    <t>of which protected area</t>
  </si>
  <si>
    <t>Part 3</t>
  </si>
  <si>
    <t xml:space="preserve">Source:  Source:  Asia Air Survey Company, October 2012, p. 49.        </t>
  </si>
  <si>
    <t>Total Economic Value</t>
  </si>
  <si>
    <t>Sustainable yield as of 2010 in m3</t>
  </si>
  <si>
    <t>kg_per_m3_wood</t>
  </si>
  <si>
    <t>Wood use (m3)</t>
  </si>
  <si>
    <t>woodwgt_hhold_year</t>
  </si>
  <si>
    <t>13 – Mzimba</t>
  </si>
  <si>
    <t>Source:  Number of people and households form Government of Malawi, National Statistical Office, 2008, p.17  Household size calculated from those data.  These population figures only include people living in "typical households;" i.e. they exclude people in hotels, hospitals, boarding schools, and other institutional settings on the day of the census.</t>
  </si>
  <si>
    <t xml:space="preserve">15 – Rumphi  </t>
  </si>
  <si>
    <t>Household size, by region, 2008</t>
  </si>
  <si>
    <t>Projected Population, 2008-2012</t>
  </si>
  <si>
    <t>Note:  Figures for 2008 are the projected population as of July 1, 2008.  They not the official population as of the date of the census (8  June, 2008).  The total population as of the date of the census is  13,077,160.  In addition, these figures differ from those in the first table on this worksheet, and in Table 4.1 above, because these figures include those staying in institutions on the night of the census, whereas the tables above do not.  (Clarifications provided by Angela Msosa, National Statistical Office, amsosa@statistics.gov.mw)</t>
  </si>
  <si>
    <t>Source: Volume 7, Population Projections, plus corrected tables provided by Angela Msosa, NSO.  (GET PROPER REFERENCE)</t>
  </si>
  <si>
    <t>Source 2:  Simons quoted in Lowore 2003 p. 19:</t>
  </si>
  <si>
    <t>Total Sum of b1_2_1</t>
  </si>
  <si>
    <t>Total Sum of b1_2_2</t>
  </si>
  <si>
    <t>Total Sum of b1_2_3</t>
  </si>
  <si>
    <t>Total Sum of b1_2_4</t>
  </si>
  <si>
    <t>Total Sum of b1_2_5</t>
  </si>
  <si>
    <t>Total Sum of b1_2_6</t>
  </si>
  <si>
    <t>Total Sum of b1_2_7</t>
  </si>
  <si>
    <t>Total Sum of b1_2_8</t>
  </si>
  <si>
    <t>Total Sum of b1_2_9</t>
  </si>
  <si>
    <t>Total Sum of sales_othermanufprod</t>
  </si>
  <si>
    <t>Total Sum of sales_goods</t>
  </si>
  <si>
    <t>Total Sum of sales_serv</t>
  </si>
  <si>
    <t>Total Sum of sales_resale</t>
  </si>
  <si>
    <t>Total Sum of sales_ownaccount</t>
  </si>
  <si>
    <t>Total Sum of sales_rents</t>
  </si>
  <si>
    <t>Total Sum of sales_other</t>
  </si>
  <si>
    <t>Total Sum of Tot_otherincome</t>
  </si>
  <si>
    <t>Total Sum of sales</t>
  </si>
  <si>
    <t>Total Sum of stock_beg</t>
  </si>
  <si>
    <t>Total Sum of stock_end</t>
  </si>
  <si>
    <t>Total Sum of net_stock</t>
  </si>
  <si>
    <t>Total Sum of d1_2_1</t>
  </si>
  <si>
    <t>Total Sum of d1_2_2</t>
  </si>
  <si>
    <t>Total Sum of d1_2_3</t>
  </si>
  <si>
    <t>Total Sum of d1_2_4</t>
  </si>
  <si>
    <t>Total Sum of d1_2_5</t>
  </si>
  <si>
    <t>Total Sum of d1_2_6</t>
  </si>
  <si>
    <t>Total Sum of d1_2_7</t>
  </si>
  <si>
    <t>Total Sum of d1_2_8</t>
  </si>
  <si>
    <t>Total Sum of d1_2_9</t>
  </si>
  <si>
    <t>Total Sum of d1_2_10</t>
  </si>
  <si>
    <t>Total Sum of purch_mat</t>
  </si>
  <si>
    <t>Total Sum of exp_packmat</t>
  </si>
  <si>
    <t>Total Sum of exp_spareP</t>
  </si>
  <si>
    <t>Total Sum of exp_stationery</t>
  </si>
  <si>
    <t>Total Sum of exp_firewood</t>
  </si>
  <si>
    <t>Total Sum of exp_coal</t>
  </si>
  <si>
    <t>Total Sum of purch_fuel</t>
  </si>
  <si>
    <t>Total Sum of purch_elwat</t>
  </si>
  <si>
    <t>Total Sum of exp_water</t>
  </si>
  <si>
    <t>Total Sum of exp_communic</t>
  </si>
  <si>
    <t>Total Sum of exp_manufserv</t>
  </si>
  <si>
    <t>Total Sum of exp_repair</t>
  </si>
  <si>
    <t>Total Sum of exp_transport</t>
  </si>
  <si>
    <t>Total Sum of exp_insurance</t>
  </si>
  <si>
    <t>Total Sum of exp_bankfees</t>
  </si>
  <si>
    <t>Total Sum of exp_adverts</t>
  </si>
  <si>
    <t>Total Sum of exp_rentbuild</t>
  </si>
  <si>
    <t>Total Sum of exp_rentequip</t>
  </si>
  <si>
    <t>Total Sum of exp_interest</t>
  </si>
  <si>
    <t>Total Sum of exp_donations</t>
  </si>
  <si>
    <t>Total Sum of exp_govtfees</t>
  </si>
  <si>
    <t>Total Sum of exp_depreciation</t>
  </si>
  <si>
    <t>Total Sum of exp_baddebts</t>
  </si>
  <si>
    <t>Total Sum of exp_resale</t>
  </si>
  <si>
    <t>Total Sum of exp_othercosts</t>
  </si>
  <si>
    <t>Total Sum of All_other_costs</t>
  </si>
  <si>
    <t>Total Sum of purch_tot</t>
  </si>
  <si>
    <t>Total Sum of value_add_mp</t>
  </si>
  <si>
    <t>Total Sum of remun_cash</t>
  </si>
  <si>
    <t>Total Sum of remun_kind</t>
  </si>
  <si>
    <t>Total Sum of remun_tot</t>
  </si>
  <si>
    <t>Total Sum of remun_emp</t>
  </si>
  <si>
    <t>Total Sum of employment</t>
  </si>
  <si>
    <t>Total Sum of employment_Male</t>
  </si>
  <si>
    <t>Total Sum of employment_Female</t>
  </si>
  <si>
    <t>Total Sum of n_book_beg</t>
  </si>
  <si>
    <t>Total Sum of new_assets</t>
  </si>
  <si>
    <t>Total Sum of sec_assets</t>
  </si>
  <si>
    <t>Total Sum of improv_ass</t>
  </si>
  <si>
    <t>Total Sum of own_work</t>
  </si>
  <si>
    <t>Total Sum of sale_ass</t>
  </si>
  <si>
    <t>Total Sum of depreciation</t>
  </si>
  <si>
    <t>Total Sum of rev_ass</t>
  </si>
  <si>
    <t>Total Sum of n_book_end</t>
  </si>
  <si>
    <t>Total Number of enterprises</t>
  </si>
  <si>
    <t>ISIC 16</t>
  </si>
  <si>
    <t>Sawmills</t>
  </si>
  <si>
    <t>ISIC 3100</t>
  </si>
  <si>
    <t>Furniture</t>
  </si>
  <si>
    <t>Number of employees</t>
  </si>
  <si>
    <t>Total Compensation</t>
  </si>
  <si>
    <t>Annual Economic Survey, 2009-2010</t>
  </si>
  <si>
    <t>Source:  Data provided by Philip Simkonda, National Statistical Office, psimkonda@statistics.gov.mw.  Rows in red are those included in the tables in NSO AES publications.</t>
  </si>
  <si>
    <t>Major manufacturing companies</t>
  </si>
  <si>
    <t>Source:  Annual Economic Survey, data provided by Philip Simkonda, NSO.</t>
  </si>
  <si>
    <t>Where do you go to collect firewood?</t>
  </si>
  <si>
    <t>OWN WOODLOT .1; COMMUNITY WOODLOT .2; FOREST RESERVE .3; UNFARMED AREAS OF COMMUNITY . . .4; OTHER (SPECIFY).5</t>
  </si>
  <si>
    <t>Own woodlot</t>
  </si>
  <si>
    <t>Community woodlot</t>
  </si>
  <si>
    <t>Forest reserve</t>
  </si>
  <si>
    <t>Unfarmed areas of community</t>
  </si>
  <si>
    <r>
      <t>1139084</t>
    </r>
    <r>
      <rPr>
        <sz val="9"/>
        <color theme="1"/>
        <rFont val="Calibri"/>
        <scheme val="minor"/>
      </rPr>
      <t> </t>
    </r>
  </si>
  <si>
    <t>Source: Abbot and Lowore, 1999, p. 116, Table 3</t>
  </si>
  <si>
    <t>weight, kg</t>
  </si>
  <si>
    <t>Openshaw estimates of employment in the woodfuel sector in Malawi, 2008</t>
  </si>
  <si>
    <t>Source:  Openshaw 2010, pp. 372 and 373</t>
  </si>
  <si>
    <t>Earnings/person</t>
  </si>
  <si>
    <t>Earnings/day</t>
  </si>
  <si>
    <t>Woodfuel</t>
  </si>
  <si>
    <t>Wood</t>
  </si>
  <si>
    <t>Activity</t>
  </si>
  <si>
    <t>ISIC Rev. 4</t>
  </si>
  <si>
    <t>Employment* (1)</t>
  </si>
  <si>
    <t>Earnings 2008, $US (2)</t>
  </si>
  <si>
    <t>Earnings MWK (3)</t>
  </si>
  <si>
    <t xml:space="preserve">Silviculture </t>
  </si>
  <si>
    <t xml:space="preserve">Production </t>
  </si>
  <si>
    <t>Earnings per person are the same for wood and charcoal, so the totals must have been calculated from a daily wage rate.</t>
  </si>
  <si>
    <t>Transportation</t>
  </si>
  <si>
    <t>Trade</t>
  </si>
  <si>
    <t>Subtotal, Production, Transport &amp; Trade</t>
  </si>
  <si>
    <t>*  Presumably this is in full-time equivalents; the paper does not specify</t>
  </si>
  <si>
    <t>(1) Source:  Openshaw 2010 p. 272, Table 5</t>
  </si>
  <si>
    <t>(2) Source:  Openshaw 2010, p.273, Table 6</t>
  </si>
  <si>
    <t>(3) $1 = MWK 148  This is the exchange rate used in the Openshaw study; therefore we are using it, though it differs from the 2008 exchange rate used elsewhere in this work.</t>
  </si>
  <si>
    <t>Fuelwood</t>
  </si>
  <si>
    <t>Growing wood</t>
  </si>
  <si>
    <t>Processing, transport, sale</t>
  </si>
  <si>
    <t>Department of Forestry</t>
  </si>
  <si>
    <t>Forest Management</t>
  </si>
  <si>
    <t>Plantations</t>
  </si>
  <si>
    <t>Source:  Data provided by Department of Forestry</t>
  </si>
  <si>
    <t>ISIC Code</t>
  </si>
  <si>
    <t>Description</t>
  </si>
  <si>
    <t>Contribution to Value Added</t>
  </si>
  <si>
    <t>Quarterly figures</t>
  </si>
  <si>
    <t>Grand  Totals</t>
  </si>
  <si>
    <t>Sub Total</t>
  </si>
  <si>
    <t>Licence Fees</t>
  </si>
  <si>
    <t>Rent MG Houses</t>
  </si>
  <si>
    <t>Misc. Receipts</t>
  </si>
  <si>
    <t>Log Sales</t>
  </si>
  <si>
    <t>Farm Prod. Sales</t>
  </si>
  <si>
    <t>Royal. Forest Prod.</t>
  </si>
  <si>
    <t>Concessions</t>
  </si>
  <si>
    <t>Acc. &amp; Hall Hire</t>
  </si>
  <si>
    <t xml:space="preserve">  </t>
  </si>
  <si>
    <t>Resthouse fees</t>
  </si>
  <si>
    <t>VIPYA</t>
  </si>
  <si>
    <t>Farm prod. Sales</t>
  </si>
  <si>
    <t>Tender doc sales</t>
  </si>
  <si>
    <t>Royal.Forest Prod</t>
  </si>
  <si>
    <t>Road Transit Charge</t>
  </si>
  <si>
    <t>Acc. &amp; hall hire</t>
  </si>
  <si>
    <t>Rest house fees</t>
  </si>
  <si>
    <t>Cource fees</t>
  </si>
  <si>
    <t>MCFW</t>
  </si>
  <si>
    <t>Licence fees</t>
  </si>
  <si>
    <t>Royal. Forest prod.</t>
  </si>
  <si>
    <t>Viphya</t>
  </si>
  <si>
    <t>Acc. &amp; Hall hire</t>
  </si>
  <si>
    <t>RFO (N)</t>
  </si>
  <si>
    <t>north</t>
  </si>
  <si>
    <t>center</t>
  </si>
  <si>
    <t>south</t>
  </si>
  <si>
    <t>HQ</t>
  </si>
  <si>
    <t>Licenses totals</t>
  </si>
  <si>
    <t>-</t>
  </si>
  <si>
    <t>Misc. Recipts</t>
  </si>
  <si>
    <t>Lands misc. fees</t>
  </si>
  <si>
    <t>Log sales</t>
  </si>
  <si>
    <t>ROYAL Forest pro</t>
  </si>
  <si>
    <t>RFO ( C )</t>
  </si>
  <si>
    <t>Royalties total</t>
  </si>
  <si>
    <t>Misce. Receipts</t>
  </si>
  <si>
    <t>Royal. Forest pro</t>
  </si>
  <si>
    <t>Rent MG houses</t>
  </si>
  <si>
    <t>Land Hus. Serv.</t>
  </si>
  <si>
    <t>Acc. &amp; Hallhire</t>
  </si>
  <si>
    <t>Fuelwood total</t>
  </si>
  <si>
    <t>.</t>
  </si>
  <si>
    <t>RFO (S)</t>
  </si>
  <si>
    <t xml:space="preserve">                   </t>
  </si>
  <si>
    <t>Seed sales</t>
  </si>
  <si>
    <t>FRIM</t>
  </si>
  <si>
    <t>The total paid in 2010-2011 according the the Viphya operators table is about 221M, including poles sold by concessions.</t>
  </si>
  <si>
    <t>Sale of Borded off items</t>
  </si>
  <si>
    <t>Lands Misc. Fee</t>
  </si>
  <si>
    <t>Log sales total</t>
  </si>
  <si>
    <t>Dept. HQ.</t>
  </si>
  <si>
    <t>JUN.</t>
  </si>
  <si>
    <t>MAY.</t>
  </si>
  <si>
    <t>APR.</t>
  </si>
  <si>
    <t>MAR.</t>
  </si>
  <si>
    <t>FEB.</t>
  </si>
  <si>
    <t>JAN.</t>
  </si>
  <si>
    <t>DEC.</t>
  </si>
  <si>
    <t>NOV.</t>
  </si>
  <si>
    <t>OCT.</t>
  </si>
  <si>
    <t>SEPT.</t>
  </si>
  <si>
    <t>AUG.</t>
  </si>
  <si>
    <t>JULY</t>
  </si>
  <si>
    <t>Type of revenue</t>
  </si>
  <si>
    <t>Station</t>
  </si>
  <si>
    <t xml:space="preserve">TOTALS </t>
  </si>
  <si>
    <t>Miscellaneous receipts</t>
  </si>
  <si>
    <t>Receipts on certificates</t>
  </si>
  <si>
    <t>Tobacco Levy</t>
  </si>
  <si>
    <t>Publications</t>
  </si>
  <si>
    <t>Sale of Tender Documents</t>
  </si>
  <si>
    <t>Tuition Fees</t>
  </si>
  <si>
    <t>Royalties on Forestry Produce</t>
  </si>
  <si>
    <t>Misc. Fees</t>
  </si>
  <si>
    <t>Course Fees</t>
  </si>
  <si>
    <t>Phytosanitary Certificate</t>
  </si>
  <si>
    <t>Forest Seed Sales</t>
  </si>
  <si>
    <t>Sale of Firewood</t>
  </si>
  <si>
    <t>Sale of Farm Produce</t>
  </si>
  <si>
    <t>Sale of research produce items</t>
  </si>
  <si>
    <t>Sale of Boarded off items</t>
  </si>
  <si>
    <t>02</t>
  </si>
  <si>
    <t>Source / Discussion</t>
  </si>
  <si>
    <t>Item</t>
  </si>
  <si>
    <t>Department of Forestry revenues from natural forests</t>
  </si>
  <si>
    <t>DoF revenues from firewood, log sales, license fees, and concessions.  Data were provided by John Chunga, Head Accountant, DoF.  They cover the period from July 2010 to June 2011; data for January-June 2010 were not available.</t>
  </si>
  <si>
    <t>DoF royalties on indigenous timber sales (from natural forests).  Data provided by John Chunga, Head Accountant, DoF, covering July 2010 to June 2011.</t>
  </si>
  <si>
    <t>In thousands of current kwacha</t>
  </si>
  <si>
    <t>Household charcoal consumption</t>
  </si>
  <si>
    <t>Charcoal consumption by business</t>
  </si>
  <si>
    <t>16</t>
  </si>
  <si>
    <t xml:space="preserve">Data provided by the National Statistical Office, basd on the Annual Economic Survey, which covers large enterprises.  </t>
  </si>
  <si>
    <t>31</t>
  </si>
  <si>
    <t>Less Depreciation of Plantations</t>
  </si>
  <si>
    <t>Department of Forestry, from forest reserves</t>
  </si>
  <si>
    <t>Total, natural forests</t>
  </si>
  <si>
    <t>Total, ISIC 02</t>
  </si>
  <si>
    <t>8413</t>
  </si>
  <si>
    <t>Regulation of and contribution to more efficient operation of businesses (Department of Forestry Portion)</t>
  </si>
  <si>
    <t>Department of Forestry salaries</t>
  </si>
  <si>
    <t>Cost Centre</t>
  </si>
  <si>
    <t>Prog/Subprog</t>
  </si>
  <si>
    <t>PE (MK)</t>
  </si>
  <si>
    <t>personnel subtotals</t>
  </si>
  <si>
    <t>ORT (MK)</t>
  </si>
  <si>
    <t>008 - HQ</t>
  </si>
  <si>
    <t>Forestry Conservation</t>
  </si>
  <si>
    <t>Forest Extension</t>
  </si>
  <si>
    <t>Internal Fin.Mngt</t>
  </si>
  <si>
    <t>General Admin</t>
  </si>
  <si>
    <t>Planning and Policy</t>
  </si>
  <si>
    <t>HR</t>
  </si>
  <si>
    <t>M and E</t>
  </si>
  <si>
    <t>009</t>
  </si>
  <si>
    <t>Other Research</t>
  </si>
  <si>
    <t>Internal Audit</t>
  </si>
  <si>
    <t>Internal Financial Mngt</t>
  </si>
  <si>
    <t>General Administration</t>
  </si>
  <si>
    <t>010 FRIM?</t>
  </si>
  <si>
    <t>010</t>
  </si>
  <si>
    <t>Internal Financial Mngt.</t>
  </si>
  <si>
    <t>Human Resources Dev.</t>
  </si>
  <si>
    <t>Internal M&amp;E</t>
  </si>
  <si>
    <t>011 South</t>
  </si>
  <si>
    <t>Human Resources Mngt</t>
  </si>
  <si>
    <t>Central or north?</t>
  </si>
  <si>
    <t>012</t>
  </si>
  <si>
    <t>014 - MCFW</t>
  </si>
  <si>
    <t>016 Viphya</t>
  </si>
  <si>
    <t>operating costs</t>
  </si>
  <si>
    <t>Conservation total</t>
  </si>
  <si>
    <t>Extension total</t>
  </si>
  <si>
    <t>Department of Forestry Operating Costs</t>
  </si>
  <si>
    <t>Total personnel costs</t>
  </si>
  <si>
    <t>Public expenditure on forestry sector</t>
  </si>
  <si>
    <t>DoF Plantation revenue</t>
  </si>
  <si>
    <t>Plantations:</t>
  </si>
  <si>
    <t>Household charcoal use</t>
  </si>
  <si>
    <t>Charcoal is main fuel</t>
  </si>
  <si>
    <t>Use charcoal in blackout</t>
  </si>
  <si>
    <t>No. of hholds</t>
  </si>
  <si>
    <t>Indigenous Forests</t>
  </si>
  <si>
    <t>Wood used to produce charcoal</t>
  </si>
  <si>
    <t>Material</t>
  </si>
  <si>
    <t>kg firewood</t>
  </si>
  <si>
    <t>kg charcoal</t>
  </si>
  <si>
    <t>Fuel required to produce one Mj, in kg:</t>
  </si>
  <si>
    <t>Kg wood required to produce 1 kg charcoal</t>
  </si>
  <si>
    <t>Kg wood (as charcoal) to produce one Mj</t>
  </si>
  <si>
    <t>Mj Energy consumption per household per year based on fuelwood use</t>
  </si>
  <si>
    <t>Wood required to produce that charcoal, in kg</t>
  </si>
  <si>
    <t>Wood required to produce that energy, in kg</t>
  </si>
  <si>
    <t>Wood required to produce that charcoal, in m3</t>
  </si>
  <si>
    <t>Charcoal use, in kg</t>
  </si>
  <si>
    <t>Charcoal required to produce that energy, in kg</t>
  </si>
  <si>
    <t>Wood to produce that charcoal, in m3</t>
  </si>
  <si>
    <t>Excess harvesting from natural forests</t>
  </si>
  <si>
    <t>Total DoF costs</t>
  </si>
  <si>
    <t>Expenditure category</t>
  </si>
  <si>
    <t>Amount</t>
  </si>
  <si>
    <t>Notes</t>
  </si>
  <si>
    <t>What is the total value of the firewood you used in the past week, whether gathe * DISTRICT Crosstabulation</t>
  </si>
  <si>
    <t xml:space="preserve">Count </t>
  </si>
  <si>
    <t>DISTRICT</t>
  </si>
  <si>
    <t>Chitipa</t>
  </si>
  <si>
    <t>Karonga</t>
  </si>
  <si>
    <t>Nkhatabay</t>
  </si>
  <si>
    <t>Rumphi</t>
  </si>
  <si>
    <t>Mzimba</t>
  </si>
  <si>
    <t>NORTH</t>
  </si>
  <si>
    <t>Kasungu</t>
  </si>
  <si>
    <t>Nkhota kota</t>
  </si>
  <si>
    <t>Ntchisi</t>
  </si>
  <si>
    <t>Dowa</t>
  </si>
  <si>
    <t>Lilongwe</t>
  </si>
  <si>
    <t>Mchinji</t>
  </si>
  <si>
    <t>Ntcheu</t>
  </si>
  <si>
    <t>CENTRAL</t>
  </si>
  <si>
    <t>Mangochi</t>
  </si>
  <si>
    <t>Machinga</t>
  </si>
  <si>
    <t>Chiradzulu</t>
  </si>
  <si>
    <t>Blanytyre</t>
  </si>
  <si>
    <t>Thyolo</t>
  </si>
  <si>
    <t>Mulanje</t>
  </si>
  <si>
    <t>Phalombe</t>
  </si>
  <si>
    <t>Chikwawa</t>
  </si>
  <si>
    <t>Nsanje</t>
  </si>
  <si>
    <t>Balaka</t>
  </si>
  <si>
    <t>Neno</t>
  </si>
  <si>
    <t>SOUTH</t>
  </si>
  <si>
    <t>SUMPRODUCT</t>
  </si>
  <si>
    <t>AVERAGE</t>
  </si>
  <si>
    <t>weekly</t>
  </si>
  <si>
    <t>annual</t>
  </si>
  <si>
    <t>hh_wood_exp_M</t>
  </si>
  <si>
    <t>hh_wood_exp_N</t>
  </si>
  <si>
    <t>hh_wood_exp_C</t>
  </si>
  <si>
    <t>hh_wood_exp_S</t>
  </si>
  <si>
    <t>In the event of a black out, what source of energy do you use for Cooking?</t>
  </si>
  <si>
    <t>Firewood</t>
  </si>
  <si>
    <t>Other(Specify)</t>
  </si>
  <si>
    <t>Liwonde</t>
  </si>
  <si>
    <t>REGION</t>
  </si>
  <si>
    <t>DISTRICT * Do you ever use firewood for fuel? Crosstabulation</t>
  </si>
  <si>
    <t>Region</t>
  </si>
  <si>
    <t>DISTRICT * What is your main source of cooking fuel? Crosstabulation</t>
  </si>
  <si>
    <t>Note:  the total expenditure shown is based on the total value for all purchasers.  The number of people giving a value is less than the total number of purchases based on questions F12 and F13 of the Integrated Household Survey.</t>
  </si>
  <si>
    <t>IHS Question F12.</t>
  </si>
  <si>
    <t>IHS Question F13.</t>
  </si>
  <si>
    <t>IHS Question F18.</t>
  </si>
  <si>
    <t xml:space="preserve">WHY IS THIS HIGHER THAN THE NUMBER WHO EVER USE FUELWOOD?  </t>
  </si>
  <si>
    <t>Current situation</t>
  </si>
  <si>
    <t>Transfer from plantation to treasury</t>
  </si>
  <si>
    <t>Total VA</t>
  </si>
  <si>
    <t>Comparison of Treatment of Forests in National Accounts:  as private company or parastatal compared with current system</t>
  </si>
  <si>
    <t>This figure is an estimate, because we do not know how the operating cost data should be disaggregated between plantations and other activities.  For the purpose of this comparison, we have allocated half of the operating costs to plantations.</t>
  </si>
  <si>
    <t>Compensation of Employees</t>
  </si>
  <si>
    <t>ISIC 02</t>
  </si>
  <si>
    <t>ISIC 8413</t>
  </si>
  <si>
    <t>Plantation Gross Value Added</t>
  </si>
  <si>
    <t>Operating Surplus</t>
  </si>
  <si>
    <t>Hypothetical private company or parastatal</t>
  </si>
  <si>
    <t>Plantation wages</t>
  </si>
  <si>
    <t>Total contribution to value added from public expenditures on the DoF</t>
  </si>
  <si>
    <t>With this operating surplus, the hypothetical private company would be out of business.  The parastatal would require a subsidy from government of 271 million kwacha to stay in business.</t>
  </si>
  <si>
    <t>Government expenditure on Forestry:</t>
  </si>
  <si>
    <t>Less subsidies from government</t>
  </si>
  <si>
    <t>Account Item</t>
  </si>
  <si>
    <t>ISIC 02 + 8413</t>
  </si>
  <si>
    <t>Probably includes small sums of revenue from the many fees listed in the forest rules.</t>
  </si>
  <si>
    <t>Forestry Rules Second schedule, section 4. Fuelwood.  This is apparently sales of fuelwood from the plantations</t>
  </si>
  <si>
    <t>Licenses issued by the DoF for exports, installation of cellphone towers in reserves, and other services (according to John Chunga, Head Accountant, DoF).</t>
  </si>
  <si>
    <t>Private timber operations - almost all Viphya</t>
  </si>
  <si>
    <t>Forestry Rules Third schedule, section 2. Rest houses</t>
  </si>
  <si>
    <t>Forestry Rules Second schedule, section 1. Indigenous forests.  Price depends on species</t>
  </si>
  <si>
    <t>Second schedule, section 2. Exotic trees and section 3. Poles</t>
  </si>
  <si>
    <t>DoF Revenue from Plantations</t>
  </si>
  <si>
    <t>Less Intermediate Consumption</t>
  </si>
  <si>
    <t>Other Forest Dept salaries</t>
  </si>
  <si>
    <t>Less intermediate costs</t>
  </si>
  <si>
    <t>In the current situation, all DoF operating costs would be subtracted as intermediate costs; in the hypothetical situation the plantation share has been subtracted on ISIC 02.</t>
  </si>
  <si>
    <t>Remaining  salaries of the DoF, aside from plantations</t>
  </si>
  <si>
    <t>Transfer payments from government to plantation forestry</t>
  </si>
  <si>
    <t>In current case the DoF value added would be a negative subsidy from plantation sector to treasury, because all plantation revenue goes to the Treasury.  (This will change once the Forest Fund is operational.)  If the plantations were run as a parastatal, this would be a subsidy from the treasury to the plantations.</t>
  </si>
  <si>
    <t>Total value</t>
  </si>
  <si>
    <t>Statistics</t>
  </si>
  <si>
    <t>Sum</t>
  </si>
  <si>
    <t>Forest Products Businesses</t>
  </si>
  <si>
    <t>Use of gathered forest products</t>
  </si>
  <si>
    <t xml:space="preserve">Value of gathered firewood </t>
  </si>
  <si>
    <t>Fuelwood expenditure per household:  all households</t>
  </si>
  <si>
    <t>For fuelwood is the main fuel (F12 = gathered wood or purchased wood)</t>
  </si>
  <si>
    <t>What is the total value of the firewood you used in the past week, whether gathered or purchased</t>
  </si>
  <si>
    <t>For fuelwood not the main fuel</t>
  </si>
  <si>
    <t>hh_wood_exp_Mmainfuel</t>
  </si>
  <si>
    <t>hh_wood_exp_Mnotmain</t>
  </si>
  <si>
    <t>Annual expenditure</t>
  </si>
  <si>
    <t>Ratio of not-main fuel expenditures to overall expenditures:</t>
  </si>
  <si>
    <t>Ratio of main fuel expenditures to overall expenditures:</t>
  </si>
  <si>
    <t>Fuelwood expenditure per household by region:</t>
  </si>
  <si>
    <t>Mainfuel</t>
  </si>
  <si>
    <t>Not main fuel</t>
  </si>
  <si>
    <t>Use of gathered firewood</t>
  </si>
  <si>
    <t>Share of total firewood that is gathered</t>
  </si>
  <si>
    <t>Share of total fuelwood that is gathered:</t>
  </si>
  <si>
    <t>Household use of gathered fuelwood</t>
  </si>
  <si>
    <t xml:space="preserve">Data from the Integrated Household Survey; this is the gathered share of the national total of what households would have spent on fuelwood had they purchased all that they consume.  </t>
  </si>
  <si>
    <t>Value added from household forest-based businesses</t>
  </si>
  <si>
    <t>Value added</t>
  </si>
  <si>
    <t>Total annual sales</t>
  </si>
  <si>
    <t>Total annual expenditure (except labour)</t>
  </si>
  <si>
    <t>Annual value added from forestry</t>
  </si>
  <si>
    <t>Annual sales</t>
  </si>
  <si>
    <t>Value added for all forest products businesses</t>
  </si>
  <si>
    <t>Intermediate consumption</t>
  </si>
  <si>
    <t>Malawi Industrial Code</t>
  </si>
  <si>
    <t>ISIC Revision 4</t>
  </si>
  <si>
    <t>Mixed farming</t>
  </si>
  <si>
    <t>Forestry and logging</t>
  </si>
  <si>
    <t>Mining and quarrying</t>
  </si>
  <si>
    <t>Textiles, cord and twine</t>
  </si>
  <si>
    <t>Bricks, cement, concrete</t>
  </si>
  <si>
    <t>Metal products and hand tools</t>
  </si>
  <si>
    <t>Retail</t>
  </si>
  <si>
    <t>Restaurants and hotels</t>
  </si>
  <si>
    <t>Education, medicine, professional services, etc.</t>
  </si>
  <si>
    <t>01</t>
  </si>
  <si>
    <t>05 to 09</t>
  </si>
  <si>
    <t>10 to 12</t>
  </si>
  <si>
    <t>13 to 15, parts of 16</t>
  </si>
  <si>
    <t>Wood-based manufacturing, sawmills</t>
  </si>
  <si>
    <t>13 to 15 (textiles), parts of 16 (cord and twine)</t>
  </si>
  <si>
    <t>239</t>
  </si>
  <si>
    <t>23, 24 (hand tools in the Malawian classification may not be metal)</t>
  </si>
  <si>
    <t>47</t>
  </si>
  <si>
    <t>55, 56</t>
  </si>
  <si>
    <t>69 to 75, 85</t>
  </si>
  <si>
    <t>5 to 9</t>
  </si>
  <si>
    <t>16, 31</t>
  </si>
  <si>
    <t>23, 24</t>
  </si>
  <si>
    <t>Food, beverage, and tobacco processing</t>
  </si>
  <si>
    <t>93</t>
  </si>
  <si>
    <t>Textiles, cord &amp; twine</t>
  </si>
  <si>
    <t>Value added from household businesses by industrial classification</t>
  </si>
  <si>
    <r>
      <t xml:space="preserve">COLLECTED FIREWOOD. . 1 </t>
    </r>
    <r>
      <rPr>
        <b/>
        <sz val="10"/>
        <color rgb="FF000000"/>
        <rFont val="Calibri"/>
        <family val="2"/>
      </rPr>
      <t xml:space="preserve">(»F15); </t>
    </r>
    <r>
      <rPr>
        <sz val="10"/>
        <color rgb="FF000000"/>
        <rFont val="Calibri"/>
        <family val="2"/>
      </rPr>
      <t xml:space="preserve">PURCHASED FIREWOOD. . 2; </t>
    </r>
    <r>
      <rPr>
        <b/>
        <sz val="10"/>
        <color rgb="FF000000"/>
        <rFont val="Calibri"/>
        <family val="2"/>
      </rPr>
      <t xml:space="preserve">(»F14); </t>
    </r>
    <r>
      <rPr>
        <sz val="10"/>
        <color rgb="FF000000"/>
        <rFont val="Calibri"/>
        <family val="2"/>
      </rPr>
      <t>PARAFFIN . . 3; ELECTRICITY. 4; GAS. . . . . 5; CHARCOAL . . 6; CROP RESIDUE 7; SAW DUST . . 8; ANIMAL WASTE 9; OTHER (SPECIFY). .10.</t>
    </r>
  </si>
  <si>
    <t>The quantity of wood used by those  who only use it sometimes is estimated based on the ratio of expenditures by those who sometimes use wood to expenditures by those who only use wood.</t>
  </si>
  <si>
    <t>Note:  Overall fuelwood use per capita differs from that in Owen et al because this table is using the number of households from the 2008 census rather than projections from the earlier census.  The data presented in Owen et al are based on a survey by Killy Sichinga, carried out for the BEST study.  The BEST study also includes per capita figures for urban fuelwood use.  This study includes only the rural figures because they are more likely to refect the consumption of those who only use fuelwood; they are not averaged with a population including many charcoal or electricity users.</t>
  </si>
  <si>
    <t>Brouwer et al (Source 1)</t>
  </si>
  <si>
    <t>Simons in Lowore (Source 2)</t>
  </si>
  <si>
    <t>Sichinga (rural only) (Source 3)</t>
  </si>
  <si>
    <t>Abbot and Homewood (Source 4)</t>
  </si>
  <si>
    <t>Owen et al (Source 5)</t>
  </si>
  <si>
    <t>The table copied above is from Owen et al; it shows the data presented as Source 5.</t>
  </si>
  <si>
    <t>References</t>
  </si>
  <si>
    <t>Simons, G., 1997.  “Community-Based Natural Resources Management in Mwanza East:  A Study on Utilization and Marketing of Non-Timber Forest Products (NTFPs).”  Volume II.  Referenced in Lowore 2003.</t>
  </si>
  <si>
    <t>Source 4:  Abbot and Homewood 1999 - Lake Malawi National Park</t>
  </si>
  <si>
    <t>Source 1:  Brouwer et al 1977 - Ntcheu District</t>
  </si>
  <si>
    <t>Source 3:  Killy Sichinga, COMPASS - nationwide survey, 2005</t>
  </si>
  <si>
    <t>Volume of firewood used per year</t>
  </si>
  <si>
    <t>Forest-based household businesses</t>
  </si>
  <si>
    <t xml:space="preserve">Months in a year operational - forestry enterprises </t>
  </si>
  <si>
    <t xml:space="preserve">Number of household members working in forestry enterprise </t>
  </si>
  <si>
    <t xml:space="preserve">Total number of non-household workers in forestry enterprise </t>
  </si>
  <si>
    <t>Average hours/year</t>
  </si>
  <si>
    <t>Average FTEs/year</t>
  </si>
  <si>
    <t>Total FTEs for the sector</t>
  </si>
  <si>
    <t xml:space="preserve">Sum of hours worked by non-household workers in forestry enterprise </t>
  </si>
  <si>
    <t xml:space="preserve">Total expenditure for all non-household workers in forestry enterprise </t>
  </si>
  <si>
    <t>Malawi industrial classification code</t>
  </si>
  <si>
    <t>Standard Deviation</t>
  </si>
  <si>
    <t>National / total</t>
  </si>
  <si>
    <t>Employment in household businesses</t>
  </si>
  <si>
    <t>Number of FTE household employees</t>
  </si>
  <si>
    <t>Number of FTE outside employees</t>
  </si>
  <si>
    <t>Contribution of forests to Malawian livelihoods</t>
  </si>
  <si>
    <t>Summary</t>
  </si>
  <si>
    <t>Number of households affected</t>
  </si>
  <si>
    <t>Number of jobs (FTEs)</t>
  </si>
  <si>
    <t>Value</t>
  </si>
  <si>
    <t>Large companies</t>
  </si>
  <si>
    <t>Household businesses</t>
  </si>
  <si>
    <t>Note:  the total number of businesses varies from table to table because of missing values for some variables in the IHS database.</t>
  </si>
  <si>
    <t>Government</t>
  </si>
  <si>
    <t>Employment</t>
  </si>
  <si>
    <t>Consumption of gathered forest products</t>
  </si>
  <si>
    <t xml:space="preserve">Note:  The number of households gathering wood varies depending on which HIS variables.  This table is based on data on the share of wood that is purchased, and indicates that 2.8 million households gather wood.  The question on where wood is gathered from only has valid responses from 2.5 million households.  </t>
  </si>
  <si>
    <t>(a)  The number of households is not summed because there is substantial overlap between the households gathering forest products and those operating forest-based businesses.</t>
  </si>
  <si>
    <t>Total sales</t>
  </si>
  <si>
    <t>Changes in stocks</t>
  </si>
  <si>
    <t>ISIC 31</t>
  </si>
  <si>
    <t>Purchased material (intermediate consumption)</t>
  </si>
  <si>
    <t>Gross value added</t>
  </si>
  <si>
    <t>Compensation of employees</t>
  </si>
  <si>
    <t>Table XXX.  Key 2010 data from the Annual Economic Survey</t>
  </si>
  <si>
    <t>Table for inclusion in technical paper:</t>
  </si>
  <si>
    <t>Industrial code</t>
  </si>
  <si>
    <t>Percent of profits that are kept:</t>
  </si>
  <si>
    <t>All sectors combined</t>
  </si>
  <si>
    <t>By Industrial code</t>
  </si>
  <si>
    <t>Question N14 of the IHS asks what share of profits from household businesses are retained by the household.  This is used to estimate the contribution of these businesses to the households.  For the sectors for which no share is available, the average of all shares was applied to calculate retained earnings.</t>
  </si>
  <si>
    <t>N23.</t>
  </si>
  <si>
    <t xml:space="preserve">DOES THIS BUSINESS SELL FOREST-BASED PRODUCTS? </t>
  </si>
  <si>
    <t>Source for all of these data is Module N of the Integrated Household Survey</t>
  </si>
  <si>
    <t>Average hours/year/hhold</t>
  </si>
  <si>
    <t>Average FTEs/year/hhold</t>
  </si>
  <si>
    <t>Mean expenditure per hhold</t>
  </si>
  <si>
    <t>Average wages/year/hhold</t>
  </si>
  <si>
    <t>Total annual salaries for the sector</t>
  </si>
  <si>
    <t>Total FTEs for the sector over one year</t>
  </si>
  <si>
    <t>Total hours worked by household members in forestry enterprise (sum of all household workers)</t>
  </si>
  <si>
    <t>Average annual retained earnings/hhold</t>
  </si>
  <si>
    <t>Average monthly retained earnings/hhold</t>
  </si>
  <si>
    <t>Total annual retained earnings for the sector</t>
  </si>
  <si>
    <t>This has got to be wrong.  The employees in these businesses work on average 8 hours per month - why would they get paid so much more than others per hour?</t>
  </si>
  <si>
    <t>Forestry enterprise profits</t>
  </si>
  <si>
    <t>Share of profit kept by hhold</t>
  </si>
  <si>
    <t>Total wages of outside employees</t>
  </si>
  <si>
    <t>Earnings</t>
  </si>
  <si>
    <t>Number of Employees</t>
  </si>
  <si>
    <t>Comparison with IHS data</t>
  </si>
  <si>
    <t>Employees</t>
  </si>
  <si>
    <r>
      <t xml:space="preserve">Openshaw Keith, 2010. Biomass energy: Employment generation and its contribution to poverty alleviation, </t>
    </r>
    <r>
      <rPr>
        <sz val="10"/>
        <color theme="1"/>
        <rFont val="Arial"/>
      </rPr>
      <t>Biomass and Bioenergy 34:365-378.</t>
    </r>
  </si>
  <si>
    <t>11</t>
  </si>
  <si>
    <t>29</t>
  </si>
  <si>
    <t>36</t>
  </si>
  <si>
    <t>32</t>
  </si>
  <si>
    <t>33</t>
  </si>
  <si>
    <t>38</t>
  </si>
  <si>
    <t>62</t>
  </si>
  <si>
    <t>63</t>
  </si>
  <si>
    <t>Wood-based manufacturing, sawmills, furniture</t>
  </si>
  <si>
    <t>Malawi Activity</t>
  </si>
  <si>
    <t xml:space="preserve">23, 24 </t>
  </si>
  <si>
    <t>Metal products and hand tools (a)</t>
  </si>
  <si>
    <t>(a) It is not clear why this was classified as forest-related.  It may include manufacture of axes or other tools used to cut wood.</t>
  </si>
  <si>
    <t>021</t>
  </si>
  <si>
    <t>022</t>
  </si>
  <si>
    <t>Total, Woodfuel plus charcoal</t>
  </si>
  <si>
    <t>These values partially overlap with the data from the household survey, they can not be summed.  The IHS figures are lower than comparable data from the BEST study.  The Openshaw paper includes small and medium-sized businesses, whereas the household survey only includes household businesses; this probably explains part of the discrepancy.  The Openshaw figures for employment and earnings from growing wood seem doubtful, however.  There is little plantation forestry outside the government plantations and a few large agricultural estates (tea and tobacco); it is not clear what would account for ten thousand people working in forestry, even if this includes the entire Department of Forestry.  On the other hand, the two sources of data on processing, transport and sale of wood products are at least in the same ballpark as each other, which is reassuring; here it is quite plausible that the difference could be explained by non-household business activity.</t>
  </si>
  <si>
    <t>What is the total value of the firewood you used in the past week</t>
  </si>
  <si>
    <t>Value of gathered firewood per week</t>
  </si>
  <si>
    <t>Prior to 2012:</t>
  </si>
  <si>
    <t>free</t>
  </si>
  <si>
    <t>Malawian citizen</t>
  </si>
  <si>
    <t>Resident foreigner</t>
  </si>
  <si>
    <t>Non-resident foreigner</t>
  </si>
  <si>
    <t>Children under age 12</t>
  </si>
  <si>
    <t>As of 2012</t>
  </si>
  <si>
    <t>Park entry fees per day</t>
  </si>
  <si>
    <t>Number of paying visitors</t>
  </si>
  <si>
    <t>Nyika</t>
  </si>
  <si>
    <t>Total, 2012</t>
  </si>
  <si>
    <t>Lengwe (2012 data)(a)</t>
  </si>
  <si>
    <t>Number of non-paying visitors</t>
  </si>
  <si>
    <t>n/a</t>
  </si>
  <si>
    <t>not calculated</t>
  </si>
  <si>
    <t>Expatriate visitors</t>
  </si>
  <si>
    <t>Share of visitors from abroad</t>
  </si>
  <si>
    <t>Share of paying visitors from abroad</t>
  </si>
  <si>
    <t>Share of paying visitors from abroad, 2010</t>
  </si>
  <si>
    <t>It is not clear why 70% of people coming on holiday would be male.</t>
  </si>
  <si>
    <t xml:space="preserve">These expenditures do not include those for prepaid trips.  Scroll down in this worksheet to see full text of departure card, which asks for expenditures in country, and is the source for these expenditure data.  </t>
  </si>
  <si>
    <t>Assume all visitors on prepaid trips are on holiday, so all of the additional expenditure is assigned to holidays</t>
  </si>
  <si>
    <t>National Park Revenues</t>
  </si>
  <si>
    <t>Less Forest Revenue included in ISIC 02</t>
  </si>
  <si>
    <t>DOF Revenue not from ISIC 02</t>
  </si>
  <si>
    <t>Concession fee revenues</t>
  </si>
  <si>
    <t>Shop revenues</t>
  </si>
  <si>
    <t>Sales of game meat</t>
  </si>
  <si>
    <t>Sales of firewood</t>
  </si>
  <si>
    <t>Game licenses</t>
  </si>
  <si>
    <t>Guide fees</t>
  </si>
  <si>
    <t>(a)  Data for Lengwe include only entry fees, not number of visitors, and they are for 2012.  The number of visitors was calculated assuming that they are all foreign non-residents, and dividing revenues by the daily entry fee.</t>
  </si>
  <si>
    <t>2010 data</t>
  </si>
  <si>
    <t>2010 Revenues</t>
  </si>
  <si>
    <t>2010 Revenues - kwacha</t>
  </si>
  <si>
    <t>National Park Revenue</t>
  </si>
  <si>
    <t>Nature-based Tourism</t>
  </si>
  <si>
    <t>Visit Friends &amp; Relations (VFR)</t>
  </si>
  <si>
    <t>Nkhotakota (b)</t>
  </si>
  <si>
    <t>Foreign residents</t>
  </si>
  <si>
    <t>Nkhotakota visitors</t>
  </si>
  <si>
    <t>Foreigners</t>
  </si>
  <si>
    <t>Estimated park entry fees:</t>
  </si>
  <si>
    <t>Other gathered forest products</t>
  </si>
  <si>
    <t>K02 = 419 wood and bamboo</t>
  </si>
  <si>
    <t>Expenditure by Purpose of Trip</t>
  </si>
  <si>
    <t>Number of tourists</t>
  </si>
  <si>
    <t>Number of Tourists by Purpose of Trip</t>
  </si>
  <si>
    <t>Expenditure adjustments for prepaid trips</t>
  </si>
  <si>
    <t>Expenditure by forest-based tourists</t>
  </si>
  <si>
    <t>Number actually visiting parks</t>
  </si>
  <si>
    <t>Estimated share visiting parks</t>
  </si>
  <si>
    <t>Estimated tourism expenditures by those visiting parks</t>
  </si>
  <si>
    <t xml:space="preserve">Mulanje Forest Reserve (c) </t>
  </si>
  <si>
    <t xml:space="preserve">Full detail may be found in the worksheet entitled "tourism" of the spreadsheet found at www.joyhecht.net/mulanje/mulanje.html. </t>
  </si>
  <si>
    <t xml:space="preserve">(c) Data on Mulanje were collected in 2005, in the context of carrying out the work of valuing the resources of Mulanje Mountain.  </t>
  </si>
  <si>
    <t>2010 Park and Reserve Data</t>
  </si>
  <si>
    <t>Entry fee revenues</t>
  </si>
  <si>
    <t xml:space="preserve">This figure is underestimated because it includes only five of nine parks and wildlife reserves, and only one forest reserve.  However it may be overestimated because many protected area visitors are resident expatriates rather than tourists.  They will therefore not account for a share of inbound tourist expenditure.  </t>
  </si>
  <si>
    <t>Number of visitors on prepaid trips</t>
  </si>
  <si>
    <t>Assumes that average expenditures of those on prepaid trips are the same as those of vacationers who are not on prepaid trips.</t>
  </si>
  <si>
    <t>Assumes that 80% of prepaid trip costs end up in Malawi; 20% remains in the home country as the margins of travel agents and tour operators.</t>
  </si>
  <si>
    <t>Number of tourists not on prepaid trips</t>
  </si>
  <si>
    <t>Total expenditure for prepaid trips</t>
  </si>
  <si>
    <t>Expenditures in Malawi on prepaid trips</t>
  </si>
  <si>
    <t>Total holiday expenditure</t>
  </si>
  <si>
    <t>Average holiday expenditure</t>
  </si>
  <si>
    <t>Includes those on prepaid trips and those who are not.  This is lower than the average expenditure above because of the 20% share of prepaid trip costs assumed to remain in the home country.</t>
  </si>
  <si>
    <t>Expenditure in Malawi by forest-based inbound tourists</t>
  </si>
  <si>
    <t xml:space="preserve">All data for these calculations were provided by the Department of Forestry.  The formula used in the calculations - subtracting revenue from government plantations from the public expenditure on salaries and operating costs - was provided by Elizabeth Chikoti, Director of National Accounts.  This captures the fact that, at least as of 2010, all plantation revenues were turned over to the Treasury, effectively returning a portion of the government's support to the forestry sector.  </t>
  </si>
  <si>
    <t>Plantation (eucalyptus or pine)</t>
  </si>
  <si>
    <t>m3/ha</t>
  </si>
  <si>
    <t>MAI - degraded miombo woodland- used for southern Malawi</t>
  </si>
  <si>
    <t>MAI - healthy miombo woodland - used for Northern Malawi</t>
  </si>
  <si>
    <t>Average - used for central Malawi</t>
  </si>
  <si>
    <t>Marzoli 2007</t>
  </si>
  <si>
    <t>Source</t>
  </si>
  <si>
    <t>Dewees et al p. 35</t>
  </si>
  <si>
    <t>Misana</t>
  </si>
  <si>
    <t>Tanzania</t>
  </si>
  <si>
    <t>regrowth</t>
  </si>
  <si>
    <t>Cited in Hecht 2006</t>
  </si>
  <si>
    <t>Chidumayo 1988</t>
  </si>
  <si>
    <t>National</t>
  </si>
  <si>
    <t>Sustainable yield, natural forests</t>
  </si>
  <si>
    <t>m3 wood provides</t>
  </si>
  <si>
    <t>Mj energy</t>
  </si>
  <si>
    <t>kg wood</t>
  </si>
  <si>
    <t>kg charcoal provides</t>
  </si>
  <si>
    <t>kg wood provides</t>
  </si>
  <si>
    <t>kg Firewood (air dry) provides</t>
  </si>
  <si>
    <t>kg Charcoal provides</t>
  </si>
  <si>
    <t>one household's energy use/year</t>
  </si>
  <si>
    <t>equivalent energy from charcoal</t>
  </si>
  <si>
    <t>Quantity</t>
  </si>
  <si>
    <t xml:space="preserve">   Wood</t>
  </si>
  <si>
    <t xml:space="preserve">   Charcoal</t>
  </si>
  <si>
    <t>Conversion factors from BEST study (Owen et al 2009, p. iii)</t>
  </si>
  <si>
    <t>Calculations of wood used to produce one household's charcoal</t>
  </si>
  <si>
    <t>Number of households for whom charcoal is primary fuel (from IHS)</t>
  </si>
  <si>
    <t xml:space="preserve">How much did you pay in total ? </t>
  </si>
  <si>
    <t>Item Code</t>
  </si>
  <si>
    <t>Expenditure on charcoal - Those for whom charcoal is the main cooking fuel</t>
  </si>
  <si>
    <t>Expenditure on charcoal - everyone who reported any expenditures</t>
  </si>
  <si>
    <t>Expenditure on charcoal - only those who say they use it in a blackout</t>
  </si>
  <si>
    <t>As shown in the table to the left, more than 272 thousand households report that their main cooking fuel is charcoal; however only 725 households provided any expenditure data.</t>
  </si>
  <si>
    <t>Their average expenditure last week was about 180 kwacha.</t>
  </si>
  <si>
    <t>As shown in the table to the left (below), more than 162 thousand households say they use charcoal to cook when there is a blackout.  Since only about 75,000 households have electricity (table directly to the left), this must include people who always cook with charcoal, whether or not they have electricity.</t>
  </si>
  <si>
    <t>Of this group, only 222 reported any expenditure on charcoal, and their average expenditure is much higher than those for whom charcoal is the main cooking fuel.  This is counterintuitive; it should be lower, not higher, than the expenditures of those who always use charcoal.</t>
  </si>
  <si>
    <t>This shows expenditure on charcoal by all households that reported purchasing any in the previous week; 9,544 households.  The number of households is far lower than the number for whom it is the main cooking fuel; however it is also much higher than the sum of respondents in previous two calculations.  Therefore households purchase charcoal that neither report using it as their main fuel, nor report using it in case of a blackout.</t>
  </si>
  <si>
    <t>Overall conclusion:  IHS data on charcoal expenditures are too inconsistent to be used.</t>
  </si>
  <si>
    <t>IHS Data on charcoal expenditures</t>
  </si>
  <si>
    <r>
      <t xml:space="preserve">COLLECTED FIREWOOD. . 1 </t>
    </r>
    <r>
      <rPr>
        <b/>
        <sz val="10"/>
        <color rgb="FF000000"/>
        <rFont val="Arial"/>
        <family val="2"/>
      </rPr>
      <t xml:space="preserve">(»F15); </t>
    </r>
    <r>
      <rPr>
        <sz val="10"/>
        <color rgb="FF000000"/>
        <rFont val="Arial"/>
        <family val="2"/>
      </rPr>
      <t xml:space="preserve">PURCHASED FIREWOOD. . 2; </t>
    </r>
    <r>
      <rPr>
        <b/>
        <sz val="10"/>
        <color rgb="FF000000"/>
        <rFont val="Arial"/>
        <family val="2"/>
      </rPr>
      <t xml:space="preserve">(»F14); </t>
    </r>
    <r>
      <rPr>
        <sz val="10"/>
        <color rgb="FF000000"/>
        <rFont val="Arial"/>
        <family val="2"/>
      </rPr>
      <t>PARAFFIN . . 3; ELECTRICITY. 4; GAS. . . . . 5; CHARCOAL . . 6; CROP RESIDUE 7; SAW DUST . . 8; ANIMAL WASTE 9; OTHER (SPECIFY). .10.</t>
    </r>
  </si>
  <si>
    <t>Average recovery efficiency (wood to charcoal, in weight)</t>
  </si>
  <si>
    <r>
      <t>Wood r</t>
    </r>
    <r>
      <rPr>
        <sz val="10"/>
        <color theme="1"/>
        <rFont val="Arial"/>
      </rPr>
      <t>e</t>
    </r>
    <r>
      <rPr>
        <sz val="10"/>
        <color theme="1"/>
        <rFont val="Arial"/>
      </rPr>
      <t>quired for their charcoal consumption, in m3</t>
    </r>
  </si>
  <si>
    <t>Rules of thumb from Malawian foresters</t>
  </si>
  <si>
    <t>Low productivity / dry miombo</t>
  </si>
  <si>
    <t>Highproductivity / wet miombo</t>
  </si>
  <si>
    <t>Original source</t>
  </si>
  <si>
    <t>Chidumayo 1991</t>
  </si>
  <si>
    <t>1-10 years</t>
  </si>
  <si>
    <t>11-20 years</t>
  </si>
  <si>
    <t>20-50 years</t>
  </si>
  <si>
    <t>Cited in Frost p. 32.  Productivity estimates in kg/ha, converted to volume based on .778 tons per cubic meter, parameter given in Frost 1996, p. 32.</t>
  </si>
  <si>
    <t>Chidumayo 1993</t>
  </si>
  <si>
    <t>Chidumayo 1990</t>
  </si>
  <si>
    <t>Plot type</t>
  </si>
  <si>
    <t>Dry miombo coppice</t>
  </si>
  <si>
    <t>Wet miombo coppice</t>
  </si>
  <si>
    <t>Total use of wood from natural forests, in m3</t>
  </si>
  <si>
    <t>Part 4  Comparison of wood use with sustainable yield</t>
  </si>
  <si>
    <r>
      <t>(b)  Data for Nkhotakota provided by John Dickinson, proprieter of Bua River Lodge and</t>
    </r>
    <r>
      <rPr>
        <sz val="10"/>
        <color theme="1"/>
        <rFont val="Arial"/>
      </rPr>
      <t xml:space="preserve"> Zane Volker, manager of Tongole Lodge.  Tongole data are for 2012.</t>
    </r>
  </si>
  <si>
    <t>Bua River Lodge</t>
  </si>
  <si>
    <t>Tongole Lodge</t>
  </si>
  <si>
    <t>Malawian</t>
  </si>
  <si>
    <t>Paying visitors from abroad</t>
  </si>
  <si>
    <r>
      <t>Number of paying visitors from abroad (based on Liwonde share from abroad</t>
    </r>
    <r>
      <rPr>
        <sz val="10"/>
        <color theme="1"/>
        <rFont val="Arial"/>
      </rPr>
      <t xml:space="preserve"> except for Nkhotakota</t>
    </r>
    <r>
      <rPr>
        <sz val="10"/>
        <color theme="1"/>
        <rFont val="Arial"/>
      </rPr>
      <t>)</t>
    </r>
  </si>
  <si>
    <t>Costs Imposed on ESCOM by Shire River Sedimentation</t>
  </si>
  <si>
    <t>Source for tables to the right and below:  LTS International, Baseline Analysis (LTS June 2011a), p. 145. There are two tables numbered 4.11 on that page; both of them are copied here.</t>
  </si>
  <si>
    <t>(2)  Source:  LTS International, Baseline Analysis (LTS June 2011a), p. 145, Table 4.11  It is not clear whether this applies to all losses due to weeds and sediment, or only those from the areas targeted by the ENRMAP project.  This source also gives this value as $1.58 million, whereas source (1), p. 51 gives a value of $2.2 for the same costs, specifically for the Upper Shire area covered by the project.  Source (1) p. 51 also says that the load losses due to weeds, silt, and sediment are 8% of ESCOM's total throughput.  Source (2), p. 142, Table 4.8, gives total ESCOM revenue in 2008 as $48.91.  At 8% loss, total revenue would have been $52.82 million, total loss $3.91 million, and losses due to the region covered by the project $0.98 million.  So there is considerable inconsistency in these figures even within the same sources.</t>
  </si>
  <si>
    <t>Don't Know</t>
  </si>
  <si>
    <t>How many years ago was this house built? How old is it?</t>
  </si>
  <si>
    <t>How many separate rooms do the members of your household occupy?</t>
  </si>
  <si>
    <r>
      <t>3072525</t>
    </r>
    <r>
      <rPr>
        <sz val="9"/>
        <color theme="1"/>
        <rFont val="Calibri"/>
        <scheme val="minor"/>
      </rPr>
      <t> </t>
    </r>
  </si>
  <si>
    <t>Iron sheets</t>
  </si>
  <si>
    <t>Concrete</t>
  </si>
  <si>
    <t>Burnt bricks</t>
  </si>
  <si>
    <t>Mud brick</t>
  </si>
  <si>
    <t>Compacted earth</t>
  </si>
  <si>
    <t>Mud</t>
  </si>
  <si>
    <t>Grass</t>
  </si>
  <si>
    <t>F07.  The outer walls of the main dwelling of the household are predominantly made of what material?</t>
  </si>
  <si>
    <t>IHS Data on Brick Houses:  age and number of rooms</t>
  </si>
  <si>
    <t>Source:  www.tamalawi.com/Corporate_Profile.html</t>
  </si>
  <si>
    <t>Tobacco production in Malawi, 2008-2010</t>
  </si>
  <si>
    <t>Source:  Bunderson, W.T. and I.M. Hayes. (1995). Agricultural and environmental sustainability in Malawi. Proceedings of the Atlas Conference on Agricultural Sustainability in Africa:  Issues  for  Policy  Makers.  Abidjan,  Cote  d’Ivoire,  African  Academy  of  Sciences,   Academy Science Publishers, Nairobi, Kenya. July, 1995., cited in Bunderson and Hayes 1997, p. 4</t>
  </si>
  <si>
    <t>Total wood use</t>
  </si>
  <si>
    <t>Burley (kg)</t>
  </si>
  <si>
    <t>Flue cured (kg)</t>
  </si>
  <si>
    <t>Total wood consumption</t>
  </si>
  <si>
    <t>Wood consumption (cubic m/tonne)</t>
  </si>
  <si>
    <t>Tobacco grown, metric tonnes</t>
  </si>
  <si>
    <t>Wood consumption in tobacco processing, 2010</t>
  </si>
  <si>
    <t>Total Bricks, house and garden wall</t>
  </si>
  <si>
    <t>Bricks/house</t>
  </si>
  <si>
    <t>Bricks/fence</t>
  </si>
  <si>
    <t>rooms/house</t>
  </si>
  <si>
    <t>area/fence</t>
  </si>
  <si>
    <t>Bricks/room</t>
  </si>
  <si>
    <t>perimeter</t>
  </si>
  <si>
    <t>area/room</t>
  </si>
  <si>
    <t>Property size</t>
  </si>
  <si>
    <t>ceiling height</t>
  </si>
  <si>
    <t>Ratio of garden to house</t>
  </si>
  <si>
    <t>wall length</t>
  </si>
  <si>
    <t>Square footage of house</t>
  </si>
  <si>
    <t>Rooms per house:</t>
  </si>
  <si>
    <t>Bricks per m2</t>
  </si>
  <si>
    <t>Houses assumed to have brick walls around the garden:</t>
  </si>
  <si>
    <t>Houses without garden walls:</t>
  </si>
  <si>
    <t>Calculate Number of Bricks per House, for each number of rooms in the house</t>
  </si>
  <si>
    <t>(a)  The total number of houses built per year is calculated based on the average number of brick houses built each year over the six years preceding the IHS.  The size distribution of houses built in one year is based on the size distribution of all brick houses currently lived in.</t>
  </si>
  <si>
    <t>Houses with seven or more rooms are assumed to be villas with walled gardens; therefore the number of bricks used includes those for the garden wall.</t>
  </si>
  <si>
    <t>Total  number of bricks</t>
  </si>
  <si>
    <t>Annual number of houses (a)</t>
  </si>
  <si>
    <t>Number of rooms per house</t>
  </si>
  <si>
    <t>Bricks per standard room =</t>
  </si>
  <si>
    <t>Houses built per year and bricks used, by number of rooms</t>
  </si>
  <si>
    <t>IHS Question F10</t>
  </si>
  <si>
    <t xml:space="preserve">Burnt Brick Manufacture </t>
  </si>
  <si>
    <t>Source:  Makungwa 2008, Table 4, p. 9</t>
  </si>
  <si>
    <t>3 meals/day</t>
  </si>
  <si>
    <t>2 meals/day</t>
  </si>
  <si>
    <t>1 meal/day</t>
  </si>
  <si>
    <t>Fuelwood consumption, m3</t>
  </si>
  <si>
    <t xml:space="preserve">Service Category </t>
  </si>
  <si>
    <t xml:space="preserve">Annual woodfuel consumption in institutions offering catering services </t>
  </si>
  <si>
    <t>Wood to fire bricks</t>
  </si>
  <si>
    <t>Bricks used</t>
  </si>
  <si>
    <t xml:space="preserve">Source:  Makungwa 2008, p. </t>
  </si>
  <si>
    <t>Wood to fire 1000 bricks, m3</t>
  </si>
  <si>
    <t>Brick Making:  estimate based on IHS data on age of homes:</t>
  </si>
  <si>
    <t>Source:  Makungwa 2008, Table 8, p. 13</t>
  </si>
  <si>
    <t>Brick making</t>
  </si>
  <si>
    <t>Lime Production</t>
  </si>
  <si>
    <t>Ceramic production</t>
  </si>
  <si>
    <t>Restaurants and holiday resorts</t>
  </si>
  <si>
    <t>Sector</t>
  </si>
  <si>
    <t>Summary of annual woodfuel consumption in commercial sectors</t>
  </si>
  <si>
    <t>Institutions (primary and secondary schools; colleges; prisons/police/barracks; and hospitals)</t>
  </si>
  <si>
    <t>Brick production</t>
  </si>
  <si>
    <t>Lime production</t>
  </si>
  <si>
    <t>Restaurants &amp; holiday resorts</t>
  </si>
  <si>
    <t>Wood used, m3/year</t>
  </si>
  <si>
    <t>User</t>
  </si>
  <si>
    <t>Wood use:  Institutional and commercial users</t>
  </si>
  <si>
    <t>Institutional and Industrial use of firewood, except brick-making</t>
  </si>
  <si>
    <t>Brick-making</t>
  </si>
  <si>
    <t>Department of Forestry Expenditures (date unknown)</t>
  </si>
  <si>
    <t>Provided by the Department of Forestry</t>
  </si>
  <si>
    <t>College of Forestry</t>
  </si>
  <si>
    <t>Eastern Region</t>
  </si>
  <si>
    <t>RFO</t>
  </si>
  <si>
    <t>DFO</t>
  </si>
  <si>
    <t>Blantyre</t>
  </si>
  <si>
    <t>Thyolo - Amalika Plantation</t>
  </si>
  <si>
    <t>Subtotal, Southern Region</t>
  </si>
  <si>
    <t>Subtotal, Eastern Region</t>
  </si>
  <si>
    <t>Dedza Mountain Plantation</t>
  </si>
  <si>
    <t>Dedza DFO</t>
  </si>
  <si>
    <t>Chongoni Plantation</t>
  </si>
  <si>
    <t>Dzonai Mvai Plantation</t>
  </si>
  <si>
    <t>Ntcheu DFO</t>
  </si>
  <si>
    <t>Kaombe Plantation</t>
  </si>
  <si>
    <t>Ntchisi DFO</t>
  </si>
  <si>
    <t>Ngala Fuelwood Plantation</t>
  </si>
  <si>
    <t>Nkhotakota DFO</t>
  </si>
  <si>
    <t>Subtotal, Central Region</t>
  </si>
  <si>
    <t>Nkhata Bay</t>
  </si>
  <si>
    <t>Subtotal, Northern Region</t>
  </si>
  <si>
    <t>Total, plantations</t>
  </si>
  <si>
    <t>Indigenous Forest Management</t>
  </si>
  <si>
    <t>Subtotal, Southern</t>
  </si>
  <si>
    <t>Eastern District</t>
  </si>
  <si>
    <t>Subtotal, Eastern</t>
  </si>
  <si>
    <t>Subtotal, Central</t>
  </si>
  <si>
    <t>Subtotal, Northern</t>
  </si>
  <si>
    <t>Total, Indigenous Forests</t>
  </si>
  <si>
    <t>Quantity in m3</t>
  </si>
  <si>
    <t>Less wood gathered from household and community woodlots</t>
  </si>
  <si>
    <t>Household fuelwood consumption:</t>
  </si>
  <si>
    <t>Total consumption</t>
  </si>
  <si>
    <t>Report</t>
  </si>
  <si>
    <t>Share of gathered wood from household or community woodlots</t>
  </si>
  <si>
    <t>Subtotal - South</t>
  </si>
  <si>
    <t>Subtotal - Central</t>
  </si>
  <si>
    <t>Subtotal - North</t>
  </si>
  <si>
    <t>Weekly value of gathered firewood (from all sources)</t>
  </si>
  <si>
    <t>Weekly value of gathered firewood (from household and community woodlots)</t>
  </si>
  <si>
    <t xml:space="preserve">Annual value </t>
  </si>
  <si>
    <t>Gathered fuelwood</t>
  </si>
  <si>
    <t>Purchased fuelwood</t>
  </si>
  <si>
    <t>Share of gathered fuelwood from own or community woodlot</t>
  </si>
  <si>
    <t>Wood from own or community woodlot</t>
  </si>
  <si>
    <t>Wage rates</t>
  </si>
  <si>
    <t>Putting a monetary value on forest depreciation:</t>
  </si>
  <si>
    <t>Monetary value of depreciation</t>
  </si>
  <si>
    <t>Share by region</t>
  </si>
  <si>
    <t>Consumption allocated to regions based on share of population</t>
  </si>
  <si>
    <t>The quantity of wood consumed has been estimated using parameters for average wood consumption per households from several studies carried out in different parts of the country; these may be found in the worksheet entitled Household fuelwood parameters.</t>
  </si>
  <si>
    <t xml:space="preserve">Wood consumption was measured in households for whom wood is the only fuel used.  </t>
  </si>
  <si>
    <t>Use of natural forests:</t>
  </si>
  <si>
    <t>Less depreciation of natural forests</t>
  </si>
  <si>
    <t>Estimates of miombo productivity are listed in the cells below.</t>
  </si>
  <si>
    <t>Natural Forest</t>
  </si>
  <si>
    <t>Plantation</t>
  </si>
  <si>
    <t>Total area</t>
  </si>
  <si>
    <t xml:space="preserve">Month </t>
  </si>
  <si>
    <t>Type of forest produce</t>
  </si>
  <si>
    <t>Production (Cubic metres)</t>
  </si>
  <si>
    <t>Sales (MK)</t>
  </si>
  <si>
    <t>Inputs for production</t>
  </si>
  <si>
    <t>Price (MK)</t>
  </si>
  <si>
    <t>Direct labour cost</t>
  </si>
  <si>
    <t>Land clearing (ha)</t>
  </si>
  <si>
    <t>Logs</t>
  </si>
  <si>
    <t>Road construction (km)</t>
  </si>
  <si>
    <t>Road maintenance</t>
  </si>
  <si>
    <t>Nursery (ha)</t>
  </si>
  <si>
    <t>Marking, pitting &amp; filling</t>
  </si>
  <si>
    <t>Planting (ha)</t>
  </si>
  <si>
    <t>Fertilizer application</t>
  </si>
  <si>
    <t>Spot cultivation (ha)</t>
  </si>
  <si>
    <t>Spot weeding &amp; cultivation</t>
  </si>
  <si>
    <t xml:space="preserve">Grass cutting </t>
  </si>
  <si>
    <t>Beating up</t>
  </si>
  <si>
    <t>Other tending operations</t>
  </si>
  <si>
    <t>First pruning</t>
  </si>
  <si>
    <t>Second pruning</t>
  </si>
  <si>
    <t xml:space="preserve">Third pruning </t>
  </si>
  <si>
    <t>Misc. silvicultural operations</t>
  </si>
  <si>
    <t>Marking for thinning</t>
  </si>
  <si>
    <t>First thinning</t>
  </si>
  <si>
    <t>Second thinning</t>
  </si>
  <si>
    <t>Third thinning</t>
  </si>
  <si>
    <t>Clear felling</t>
  </si>
  <si>
    <t>Extraction cost</t>
  </si>
  <si>
    <t>Fire protection</t>
  </si>
  <si>
    <t xml:space="preserve">Materials </t>
  </si>
  <si>
    <t>(Unit Costs/ha)</t>
  </si>
  <si>
    <t>Hand tools</t>
  </si>
  <si>
    <t>Protective clothing</t>
  </si>
  <si>
    <t>Polythene tubes</t>
  </si>
  <si>
    <t>Fertilizers</t>
  </si>
  <si>
    <t>Motor vehicle expenses</t>
  </si>
  <si>
    <t>Maintenance of fixed assets</t>
  </si>
  <si>
    <t>Miscellaneous</t>
  </si>
  <si>
    <t>Total Cost for Production (MK)/ha for 30 year cycle</t>
  </si>
  <si>
    <t>Total Cost for Production (MK) for 475 ha for 30 year cycle</t>
  </si>
  <si>
    <t xml:space="preserve">1 ha on average produces 350 cubic metres sawn logs plus 10% firewood </t>
  </si>
  <si>
    <t>350 cubic metres</t>
  </si>
  <si>
    <t>1 ha</t>
  </si>
  <si>
    <t>Total volume for logs</t>
  </si>
  <si>
    <t>166,310 cubic metres</t>
  </si>
  <si>
    <t>166,310 cubic metres for logs will be produced ,therefore, on 475 ha</t>
  </si>
  <si>
    <t>Labour wage estimated at MK300/manday</t>
  </si>
  <si>
    <t>Unit Costs for materials is based on estimates and quantities per hectare needed from year zero to 30 years</t>
  </si>
  <si>
    <t>Sustainable yield, government plantations</t>
  </si>
  <si>
    <t>Area, ha</t>
  </si>
  <si>
    <t>Sustainable Yield, m3</t>
  </si>
  <si>
    <t>Plantation Forest Area</t>
  </si>
  <si>
    <t>Sustainable Yield at MAI=8</t>
  </si>
  <si>
    <t>Wood harvested</t>
  </si>
  <si>
    <t>Data from IHS question K02, about gathered forest products</t>
  </si>
  <si>
    <t>Value of gathered products</t>
  </si>
  <si>
    <t>Total value of what was consumed</t>
  </si>
  <si>
    <t>Cost of the portion that was purchased</t>
  </si>
  <si>
    <t>Watershed protection:  costs now imposed by degradation of the Shire River</t>
  </si>
  <si>
    <t>Annual sales of household businesses and intermediate consumption, by Malawian industrial code.</t>
  </si>
  <si>
    <t>Intermediate consumption only; value added from these businesses is included in the contribution of the forest sector to GDP, above</t>
  </si>
  <si>
    <t>Total value of fuelwood used by households</t>
  </si>
  <si>
    <t>Volume of fuelwood used by households</t>
  </si>
  <si>
    <t>Average value</t>
  </si>
  <si>
    <t>Output of forest-based household businesses</t>
  </si>
  <si>
    <t>Output of formal sector forest-based businesses</t>
  </si>
  <si>
    <t>Government expenditure on the Department of Forestry</t>
  </si>
  <si>
    <t>not available</t>
  </si>
  <si>
    <t>See discussion in technical report about the problems with charcoal price data in the IHS</t>
  </si>
  <si>
    <t>All evidence indicates that plantations are being harvested at an unsustainable rate; however the available data did not enable us to calculate it.</t>
  </si>
  <si>
    <t>Contribution of ISIC 02, Forestry, to GDP, 2010</t>
  </si>
  <si>
    <t>Data from the Integrated Household Survey</t>
  </si>
  <si>
    <t>Various; see other worksheets in this file.  This includes the value of all non-marketed gathered forest products.</t>
  </si>
  <si>
    <t>This is NOT the value of watershed protection services of forests; it is the costs now imposed by forest degradation in the Shire River Basin.  However it does provide a lower bound on the value of the services provided by existing forests.</t>
  </si>
  <si>
    <t>This includes revenues from lodgings, seed sales, courses, and many other sources; see worksheet entitled "DoF Revenue summary" for details.</t>
  </si>
  <si>
    <t>Forest Sustainability Analysis</t>
  </si>
  <si>
    <t>DoF Revenues:  Summary</t>
  </si>
  <si>
    <t>Household Fuelwood Use: Tables from the IHS</t>
  </si>
  <si>
    <t>THIS LOOKS INCORRECT</t>
  </si>
  <si>
    <r>
      <t>Large Industries:  Forest-related employment and earnings (in MWK 10</t>
    </r>
    <r>
      <rPr>
        <b/>
        <vertAlign val="superscript"/>
        <sz val="12"/>
        <color theme="1"/>
        <rFont val="Calibri"/>
        <scheme val="minor"/>
      </rPr>
      <t>3</t>
    </r>
    <r>
      <rPr>
        <b/>
        <sz val="12"/>
        <color theme="1"/>
        <rFont val="Calibri"/>
        <family val="2"/>
        <scheme val="minor"/>
      </rPr>
      <t>)</t>
    </r>
  </si>
  <si>
    <t>Openshaw 2010 Data, for comparison</t>
  </si>
  <si>
    <t>Government employment</t>
  </si>
  <si>
    <t>Total household retained earnings</t>
  </si>
  <si>
    <t>Total, output of household businesses</t>
  </si>
  <si>
    <t>Total, output of formal-sector businesses</t>
  </si>
  <si>
    <t>DoF Personnel Summary</t>
  </si>
  <si>
    <t>Total Employment</t>
  </si>
  <si>
    <t>Salaries</t>
  </si>
  <si>
    <t>Employment other than plantations or indigenous forests</t>
  </si>
  <si>
    <t>Liwonde National Park</t>
  </si>
  <si>
    <t>Lake Malawi National Park</t>
  </si>
  <si>
    <t>Lengwe National Park</t>
  </si>
  <si>
    <t>Nyika National Park</t>
  </si>
  <si>
    <t>Exchange Rates</t>
  </si>
  <si>
    <t>Possible prices:</t>
  </si>
  <si>
    <t>Value of wood used by households</t>
  </si>
  <si>
    <t>Price of indigenous wood sold by the DoF to industrial users</t>
  </si>
  <si>
    <t>This is the 2011 price; earlier prices were expressed in number of trees rather than per m3.</t>
  </si>
  <si>
    <t>Tobacco curing</t>
  </si>
  <si>
    <t>Total value of wood used by institutions and industries</t>
  </si>
  <si>
    <t>Value of wood used by institutional and commercial organizations</t>
  </si>
  <si>
    <t xml:space="preserve">We will value this wood at the government price.  In actuality, it is probably bought at a higher price.  However, for national accounts purposes we should include only the value added in making it available, not its final price; therefore using a figure which we think is lower than sale price is acceptable.  </t>
  </si>
  <si>
    <t>Data on wood consumption come from several sources; it is valued using the government’s price per m3 for indigenous firewood.</t>
  </si>
  <si>
    <t>Less firewood sold by DoF</t>
  </si>
  <si>
    <t>Total wood sold by DoF</t>
  </si>
  <si>
    <t>Wood sold by government plantations , m3:</t>
  </si>
  <si>
    <t xml:space="preserve">    Firewood</t>
  </si>
  <si>
    <t xml:space="preserve">    Logs</t>
  </si>
  <si>
    <t>Net wood use</t>
  </si>
  <si>
    <t>Less value added from wood provided by household businesses</t>
  </si>
  <si>
    <t>Household fuelwood purchases</t>
  </si>
  <si>
    <t xml:space="preserve">This value, calculated based on IHS data, captures the value added of those who sell wood to households.  </t>
  </si>
  <si>
    <t>Net value added from supplying wood to institutions and industry</t>
  </si>
  <si>
    <t>Grasses for thatch</t>
  </si>
  <si>
    <t>Data from the Integrated Household Survey; this includes both gathered and purchased consumption of these products.</t>
  </si>
  <si>
    <t>Wood and bamboo</t>
  </si>
  <si>
    <t>Provision of wood to institutions and industry (from which value added from household forest-based businesses has been subtracted)</t>
  </si>
  <si>
    <t>Gross Value Added</t>
  </si>
  <si>
    <t>Value per m3 used to value institutional and industrial wood</t>
  </si>
  <si>
    <t>Weighted average to value depreciation</t>
  </si>
  <si>
    <t>Data on forest-based household businesses are from the Integrated Household Survey</t>
  </si>
  <si>
    <t>Data sources and notes</t>
  </si>
  <si>
    <t>Contribution of Forest Sector to NDP (ISIC 02)</t>
  </si>
  <si>
    <t>Total employment</t>
  </si>
  <si>
    <t>Bamboo and poles</t>
  </si>
  <si>
    <t>Grasses</t>
  </si>
  <si>
    <t>Average value per household</t>
  </si>
  <si>
    <t>Grasses:</t>
  </si>
  <si>
    <t>annual salary</t>
  </si>
  <si>
    <t>GNI 2010 in $US</t>
  </si>
  <si>
    <t>Malawi National Income Accounts, 2007-2010</t>
  </si>
  <si>
    <t>http://www.nsomalawi.mw/index.php?option=com_content&amp;view=article&amp;id=150%3Agdp-by-activity-in-2007-constant-prices-in-mk-million&amp;catid=10&amp;Itemid=54</t>
  </si>
  <si>
    <t>Item Description</t>
  </si>
  <si>
    <t>2008*</t>
  </si>
  <si>
    <t>2009*</t>
  </si>
  <si>
    <t>2010*</t>
  </si>
  <si>
    <t>A Agriculture, forestry and fishing</t>
  </si>
  <si>
    <t>01 Crop and animal production, hunting and related service activities</t>
  </si>
  <si>
    <t>02 Forestry and logging</t>
  </si>
  <si>
    <t>03 Fishing and acquaculture</t>
  </si>
  <si>
    <t>B Mining and quarrying</t>
  </si>
  <si>
    <t>C Manufacturing</t>
  </si>
  <si>
    <t>D+E Electricity, gas and water supply</t>
  </si>
  <si>
    <t>F Construction</t>
  </si>
  <si>
    <t>G Wholesale and retail trade</t>
  </si>
  <si>
    <t>H Transportation and storage</t>
  </si>
  <si>
    <t>I Accomodation and food service activities</t>
  </si>
  <si>
    <t>J Information and communication</t>
  </si>
  <si>
    <t>K Financial and insurance activities</t>
  </si>
  <si>
    <t>L Real estate activities</t>
  </si>
  <si>
    <t>M+N Professional, scientific and technical activities, Administrative and support service activities</t>
  </si>
  <si>
    <t>O Public administration and defence</t>
  </si>
  <si>
    <t>P Education</t>
  </si>
  <si>
    <t>Q Human health and social work activities</t>
  </si>
  <si>
    <t>R+S+T+U Other services, nec</t>
  </si>
  <si>
    <t>Sum of all industries</t>
  </si>
  <si>
    <t>Less: Financial intermediation services indirectly measured (FISIM)</t>
  </si>
  <si>
    <t>Plus: Taxes less Subsidies on products</t>
  </si>
  <si>
    <t>GDP in constant 2007prices</t>
  </si>
  <si>
    <t>Study Results</t>
  </si>
  <si>
    <t>Forestry Contribution to GDP, 2010</t>
  </si>
  <si>
    <t>Forestry Share of GDP</t>
  </si>
  <si>
    <t>GDP</t>
  </si>
  <si>
    <t xml:space="preserve">Food </t>
  </si>
  <si>
    <t xml:space="preserve">Beverage and Tobacco </t>
  </si>
  <si>
    <t xml:space="preserve">Clothing and Footwear </t>
  </si>
  <si>
    <t xml:space="preserve">Housing </t>
  </si>
  <si>
    <t xml:space="preserve">Household operation </t>
  </si>
  <si>
    <t xml:space="preserve">Transport </t>
  </si>
  <si>
    <t>Misce-</t>
  </si>
  <si>
    <t xml:space="preserve">llaneous </t>
  </si>
  <si>
    <t xml:space="preserve">All Items </t>
  </si>
  <si>
    <t>Headline</t>
  </si>
  <si>
    <t>Inflation Rate</t>
  </si>
  <si>
    <t>Non-Food Inlation</t>
  </si>
  <si>
    <t>Weight</t>
  </si>
  <si>
    <t>2010 in current dollars</t>
  </si>
  <si>
    <t>National Accounts, in current dollars</t>
  </si>
  <si>
    <t>http://www.nsomalawi.mw/index.php?option=com_content&amp;view=article&amp;id=67%3Aconsumer-price-indiex-national&amp;catid=3&amp;Itemid=37</t>
  </si>
  <si>
    <t>Approved salaries, 2011-2012</t>
  </si>
  <si>
    <t>Net wood use, in m3</t>
  </si>
  <si>
    <t>Price per m3</t>
  </si>
  <si>
    <t xml:space="preserve">Value per m3, fuelwood used by households </t>
  </si>
  <si>
    <t>Total land area (legal boundaries</t>
  </si>
  <si>
    <t>Harvested area</t>
  </si>
  <si>
    <t>burned area</t>
  </si>
  <si>
    <t>replanted area</t>
  </si>
  <si>
    <t>Forested land remaining</t>
  </si>
  <si>
    <t>Change in the forest 1999-2008</t>
  </si>
  <si>
    <t>Annual change:</t>
  </si>
  <si>
    <t>Net change in forested area due to human activity, annually</t>
  </si>
  <si>
    <t>Reduced annual sustainable yield due to harvesting: mai=15, in m3</t>
  </si>
  <si>
    <t>Total land area</t>
  </si>
  <si>
    <t>Area harvested, 1999-2008</t>
  </si>
  <si>
    <t>Change in Viphya Plantation, 1999-2008</t>
  </si>
  <si>
    <t>Area burned</t>
  </si>
  <si>
    <t>Area replanted</t>
  </si>
  <si>
    <t>Usable forest remaining</t>
  </si>
  <si>
    <t>Valuation of the Forests of Malawi</t>
  </si>
  <si>
    <t>-  This spreadsheet</t>
  </si>
  <si>
    <t>-  A technical report which accompanies the spreadsheet and explains some details of how the</t>
  </si>
  <si>
    <t>calculations have been done.</t>
  </si>
  <si>
    <t>-  A policy brief that summarizes the major findings of the study</t>
  </si>
  <si>
    <t>-  A brief concept note on how to set prices for forest products.</t>
  </si>
  <si>
    <t>Dr. Joy E. Hecht</t>
  </si>
  <si>
    <t>jhecht@alum.mit.edu</t>
  </si>
  <si>
    <t>www.joyhecht.net</t>
  </si>
  <si>
    <t>Dr. Victor Kasulo</t>
  </si>
  <si>
    <t>kasulov@gmail.com</t>
  </si>
  <si>
    <t>1-202-494-1162</t>
  </si>
  <si>
    <t>Disclaimer:  “This Report was prepared with the financial assistance of the European Commission.  The views expressed in this report are those of the consultants and do not necessarily reflect those of the European Commission.”</t>
  </si>
  <si>
    <t>265 (0) 992 34 34 94</t>
  </si>
  <si>
    <t>This spreadsheet presents the full calculations from the valuation of the forests of Malawi, conducted between January and March 2013 for the</t>
  </si>
  <si>
    <t>EU-funded Improved Forest Management for Sustainable Livelihoods Programme.  Th ework was managed by Cardno Emerging Markets (UK) Ltd.,</t>
  </si>
  <si>
    <t xml:space="preserve">Copies of these reports may be obtained from the Malawi Department of Forestry or at www.joyhecht.net.  For technical questions about this study, </t>
  </si>
  <si>
    <t>please contact the authors:</t>
  </si>
  <si>
    <t>and Environmental Economics and Dr. Victor Kasulo, of Mzuzu University, Malawi.  It produced several outputs:</t>
  </si>
  <si>
    <t>Framework Contract Benef. Lot 1 Specific Contract Nº 2012/307827/1.  The study has been carried out by Dr. Joy E. Hecht, Consultant on Climate Change,</t>
  </si>
  <si>
    <t xml:space="preserve">The worksheets in this spreadsheet are organized into groups, containing related data and calculations.  </t>
  </si>
  <si>
    <t>Summary table showing the components of total economic value (TEV)</t>
  </si>
  <si>
    <t>Summary table showing calculation of forest sector contribution to GDP and NDP</t>
  </si>
  <si>
    <t>Forest sustainability balance</t>
  </si>
  <si>
    <t>Livelihoods</t>
  </si>
  <si>
    <t>Summary tables showing the contribution of forests to livelihoods</t>
  </si>
  <si>
    <t>National Accounts</t>
  </si>
  <si>
    <t>National accounts and price index data from the National Statistical Office website</t>
  </si>
  <si>
    <t>Acctg for plantations</t>
  </si>
  <si>
    <t>Comparison of the treatment of forests in the national accounts with how they would be accounted for if they were private</t>
  </si>
  <si>
    <t>Calulation of sustainable yield of forests, comparison of sustainabl yield to consumption, monetary value of depreciation</t>
  </si>
  <si>
    <t>DoF Revenue Summary</t>
  </si>
  <si>
    <t>Summary of DoF Revenues, July 2010 to June 2011</t>
  </si>
  <si>
    <t>Summary of Department of Forestry Revenues, 2010-2011</t>
  </si>
  <si>
    <t>DoF Revenue 2010-2011</t>
  </si>
  <si>
    <t>Detail of Department of Forestry Revenues by cost center, 2010-2011</t>
  </si>
  <si>
    <t>DoF Plantation production</t>
  </si>
  <si>
    <t>Plantation production data provided by DoF to NSO for use in the national accounts</t>
  </si>
  <si>
    <t>Forest businesses</t>
  </si>
  <si>
    <t>Output, intermediate consumption, and value added from household businesses from the Integrated Household Survey</t>
  </si>
  <si>
    <t>Hhold wood use for energy</t>
  </si>
  <si>
    <t>Fuelwood IHS Tables</t>
  </si>
  <si>
    <t>Tables produced from the Integrated Household Survey, copied into this spreadsheet to use in other calculations</t>
  </si>
  <si>
    <t>Watershed costs</t>
  </si>
  <si>
    <t>ESCOM expenditures to contend with sedimentaiton of the Shire River</t>
  </si>
  <si>
    <t>Calculations to determine value and quantity of household fuelwood and charcoal use, including some tables from the IHS</t>
  </si>
  <si>
    <t>Household fuelwood parameters</t>
  </si>
  <si>
    <t>Fuelwood Use</t>
  </si>
  <si>
    <t>Average weight</t>
  </si>
  <si>
    <t>Weight and Volume</t>
  </si>
  <si>
    <t>Parameters and calculations used to estimate quanity of wood used per household, for those using wood</t>
  </si>
  <si>
    <t>Sources of gathered wood</t>
  </si>
  <si>
    <t xml:space="preserve">Data from IHS and calculations to estimate the share of gathered wood that comes from household and community woodlots </t>
  </si>
  <si>
    <t>Other gathered products</t>
  </si>
  <si>
    <t>Data from IHS and calculations to estimate value of bamboo, poles, and grasses collected in forests</t>
  </si>
  <si>
    <t>Charcoal quantity</t>
  </si>
  <si>
    <t>Calculations to estimate quantity of charcoal used per household, based on energy consumed by those using fuelwood</t>
  </si>
  <si>
    <t>Charcoal expenditure</t>
  </si>
  <si>
    <t>Calculations from IHS data on charcoal expenditures, showing why they are inconsistent and not usable.</t>
  </si>
  <si>
    <t>Institutional-indus. Wood use</t>
  </si>
  <si>
    <t>Number of bricks</t>
  </si>
  <si>
    <t>Brick house age IHS data</t>
  </si>
  <si>
    <t>DoF Personnel &amp; OC</t>
  </si>
  <si>
    <t>DoF Personnel Details</t>
  </si>
  <si>
    <t>Employment-hhold businesses</t>
  </si>
  <si>
    <t>Employment-Openshaw study</t>
  </si>
  <si>
    <t>Annual economic survey</t>
  </si>
  <si>
    <t>Tourism Data</t>
  </si>
  <si>
    <t>Protected Area Visitors</t>
  </si>
  <si>
    <t>Liwonde NP</t>
  </si>
  <si>
    <t>Lengwe</t>
  </si>
  <si>
    <t>population parameters</t>
  </si>
  <si>
    <t>Full reference list for the study</t>
  </si>
  <si>
    <t>Monthly exchange rates</t>
  </si>
  <si>
    <t>Household size and population data from 2008 census</t>
  </si>
  <si>
    <t>Visitor and revenue data from four national parks</t>
  </si>
  <si>
    <t>Summary data on national park visitors and revenue</t>
  </si>
  <si>
    <t>Calculation of share of inbound tourism expenditure that can be attributed to forest visitors</t>
  </si>
  <si>
    <t>Data on sawmills and furniture companies from 2009 and 2010 annual economic surveys</t>
  </si>
  <si>
    <t>Data on employment in forest-based industries from Openshaw, 2008</t>
  </si>
  <si>
    <t>Tables from the IHS on employment and wages in forest-based household businesses</t>
  </si>
  <si>
    <t>Data on DoF employment by district office, for plantations and indigenous forests</t>
  </si>
  <si>
    <t>DoF expenditure data on personnel and operating costs, by cost sector.</t>
  </si>
  <si>
    <t>Estimates of wood required to cure tobacco</t>
  </si>
  <si>
    <t>Data on the ages of brick houses, from the IHS; this is used to determine how many houses are built per year</t>
  </si>
  <si>
    <t>Estimates of the number of bricks needed to build houses each year, based on size of the house</t>
  </si>
  <si>
    <t>Summary of use of fuelwood by institutions and industries</t>
  </si>
  <si>
    <t>Share of Forest Sector in GDP:  Comparison of published results with study results</t>
  </si>
  <si>
    <t>The rule of thumb for MAI for well-managed eucalyptus and pine  plantations is 15 m3/ha/year.  Malawi's plantations are known to be poorly managed; therefore a value of 8 has been chosen.  This is an inaccurate way to estimate sustainable yields for plantations; however available data do not permit any other approach.</t>
  </si>
  <si>
    <t>Malawi Government, National Audit Office, p. 36.</t>
  </si>
  <si>
    <t>Data on land cover in Viphya Plantation</t>
  </si>
  <si>
    <t>Annual salary in $, for comparison with GNI/cap</t>
  </si>
  <si>
    <t>GNI in kwacha</t>
  </si>
  <si>
    <t>xr_2010</t>
  </si>
  <si>
    <t>fuelwood relative to GNI/cap</t>
  </si>
  <si>
    <t>National park  data provided by Mary Chilimampunga, Department of Parks and Wildlife</t>
  </si>
  <si>
    <t xml:space="preserve">Abbot, Joanne I. O and Katherine Homewood, 1999.  “A History of Change:  Causes of Miombo Woodland Decline in a Protected Area in Malawi.”  The Journal of Applied Ecology, Vol. 36, No. 3, pp. 422-433. www.joyhecht.net/mulanje/refs/Abbot-Homewood-Miombo-Decline-1999.pdf  </t>
  </si>
  <si>
    <r>
      <t xml:space="preserve">Abbot, Joanne I. O. and Ruth Mace, 1999. “Managing Protected Woodlands:  Fuelwood Collection and Law Enforcement in Lake Malawi National Park.”  </t>
    </r>
    <r>
      <rPr>
        <i/>
        <sz val="10"/>
        <color theme="1"/>
        <rFont val="Arial"/>
        <family val="2"/>
      </rPr>
      <t>Conservation Biology,</t>
    </r>
    <r>
      <rPr>
        <sz val="10"/>
        <color theme="1"/>
        <rFont val="Arial"/>
      </rPr>
      <t xml:space="preserve"> Vol. 13, No. 2, pp. 418-421.  </t>
    </r>
    <r>
      <rPr>
        <sz val="10"/>
        <color rgb="FF000000"/>
        <rFont val="Arial"/>
        <family val="2"/>
      </rPr>
      <t>www.joyhecht.net/mulanje/refs/</t>
    </r>
    <r>
      <rPr>
        <sz val="10"/>
        <color theme="1"/>
        <rFont val="Arial"/>
      </rPr>
      <t>Abbott-Mace-ManagingProtectedWoodlands.1999.pdf</t>
    </r>
  </si>
  <si>
    <r>
      <t xml:space="preserve">Abbot, Patrick G. and Jimmy D. Lowore, 1999.  “Characteristics and management potential of some indigenous firewood species in Malawi.”  Forest Ecology and Management, Vol. 119, pp. 111-121.  </t>
    </r>
    <r>
      <rPr>
        <sz val="10"/>
        <color rgb="FF000000"/>
        <rFont val="Arial"/>
        <family val="2"/>
      </rPr>
      <t>www.joyhecht.net/mulanje/refs/</t>
    </r>
    <r>
      <rPr>
        <sz val="10"/>
        <color theme="1"/>
        <rFont val="Arial"/>
      </rPr>
      <t>Abbot-Lowore-IndigenousFirewood.pdf</t>
    </r>
  </si>
  <si>
    <t>Adlard, P.G., C. Goodwin Bailey, S. Austin, 1979. Wood density variation in plantation-grown Pinuspatula from the Viphya Plateau, Malawi. C.F.I. Occational Papers No 5.</t>
  </si>
  <si>
    <r>
      <t>Asia Air Survey Company, Ltd., October 2012, “</t>
    </r>
    <r>
      <rPr>
        <sz val="10"/>
        <color theme="1"/>
        <rFont val="Arial"/>
      </rPr>
      <t>Forest Resource Mapping Project under The Japanese Grant for the Forest Preservation Programme to The Republic of Malawi: Final Report for Implementation Phase”</t>
    </r>
  </si>
  <si>
    <t>Brouwer, Inge D., Jan C. Hoorweg, Marti J. van Liere, 1997  “When Households Run Out of Fuel:  Responses of Rural Houses to Decreasing Fuelwood Availability, Ntcheu District, Malawi.”  World Development, Vol. 25, No. 2, pp. 255-266.   www.joyhecht.net/mulanje/refs/Brouwer-et-al-Decreasing Fuelwood.pdf</t>
  </si>
  <si>
    <r>
      <t xml:space="preserve">Campbell, Bruce, 1996, </t>
    </r>
    <r>
      <rPr>
        <i/>
        <sz val="10"/>
        <color theme="1"/>
        <rFont val="Arial"/>
        <family val="2"/>
      </rPr>
      <t>The Miombo in Transition:  Woodlands and Welfare in Africa</t>
    </r>
    <r>
      <rPr>
        <sz val="10"/>
        <color theme="1"/>
        <rFont val="Arial"/>
      </rPr>
      <t xml:space="preserve">.  (Bogor, Indonesia:  CIFOR, 1996)  </t>
    </r>
    <r>
      <rPr>
        <sz val="10"/>
        <color rgb="FF000000"/>
        <rFont val="Arial"/>
        <family val="2"/>
      </rPr>
      <t>www.cifor.org/publications/pdf_files/Books/Miombo.pdf</t>
    </r>
  </si>
  <si>
    <r>
      <t>Campbell, Bruce, A. Angelsen, A. Cunningham, Yemi Katerere, A. Sitoe, and S. Wunder, “Miombo woodlands – opportunities and barriers to sustainable forest management”  CIFOR  www.cifor.cgiar.org/miombo/docs/Campbell_BarriersandOpportunities.pdf</t>
    </r>
    <r>
      <rPr>
        <i/>
        <sz val="10"/>
        <color theme="1"/>
        <rFont val="Arial"/>
        <family val="2"/>
      </rPr>
      <t xml:space="preserve">  www.cifor.org/miombo/docs/Campbell_BarriersandOpportunities.pdf</t>
    </r>
  </si>
  <si>
    <t>Chidumayo, E.N. 1988. Estimating fuelwood production and yield in regrowth dry miombo woodland in Zambia. Forest Ecology and Management 24, 59-66.  Cited in Frost, 1996, p. 32.</t>
  </si>
  <si>
    <t>Chidumayo, E.N. 1990. Above-ground woody biomass structure and productivity in a Zambezian woodland. Forest Ecology and Management 36, 33-46.  Cited in Frost, 1996, p. 32.</t>
  </si>
  <si>
    <r>
      <t xml:space="preserve">Chidumayo, E.N. 1991. Seedling development of the miombo woodland tree, </t>
    </r>
    <r>
      <rPr>
        <i/>
        <sz val="10"/>
        <color theme="1"/>
        <rFont val="Arial"/>
        <family val="2"/>
      </rPr>
      <t xml:space="preserve">Julbernardia globiflora. </t>
    </r>
    <r>
      <rPr>
        <sz val="10"/>
        <color theme="1"/>
        <rFont val="Arial"/>
      </rPr>
      <t>Journal of Vegetation Science 2, 21-26.  Cited in Frost, 1996, p. 32.</t>
    </r>
  </si>
  <si>
    <t>Chidumayo, E.N. 1993. Responses of miombo to harvesting: ecology and management. Stockholm Environment Institute, Stockholm.  Cited in Frost, 1996, p. 32.</t>
  </si>
  <si>
    <r>
      <t>Chikoti, Elizabeth, Philemon Siwinda, Ann-Kristin Braendvang, and LivHobbelstad Simpson, 2011, “</t>
    </r>
    <r>
      <rPr>
        <sz val="10"/>
        <color theme="1"/>
        <rFont val="Arial"/>
      </rPr>
      <t>The National Accounts for Malawi:The Effect on GDP</t>
    </r>
    <r>
      <rPr>
        <sz val="10"/>
        <color theme="1"/>
        <rFont val="MS Gothic"/>
      </rPr>
      <t> </t>
    </r>
    <r>
      <rPr>
        <sz val="10"/>
        <color theme="1"/>
        <rFont val="Arial"/>
      </rPr>
      <t xml:space="preserve">Of Integrating Supply and Use Tables in the National Accounts And the Requirements for Periodically Main Revisions”  Paper presented at the International Conference on Measuring National Income, Wealth, Poverty, and Inequality in African Countries, </t>
    </r>
  </si>
  <si>
    <t>Dewees, P., B. Campbell, Y. Katerere, A. Sitoe, A.B. Cunningham, A. Angelsen and S. Wunder.</t>
  </si>
  <si>
    <r>
      <t xml:space="preserve">2011. </t>
    </r>
    <r>
      <rPr>
        <i/>
        <sz val="10"/>
        <color rgb="FF231F20"/>
        <rFont val="Arial"/>
      </rPr>
      <t xml:space="preserve">Managing the Miombo Woodlands of Southern Africa: Policies, incentives, and options for the rural poor. </t>
    </r>
    <r>
      <rPr>
        <sz val="10"/>
        <color rgb="FF231F20"/>
        <rFont val="Arial"/>
      </rPr>
      <t xml:space="preserve"> Washington DC: Program on Forests (PROFOR).  </t>
    </r>
    <r>
      <rPr>
        <i/>
        <sz val="10"/>
        <color theme="1"/>
        <rFont val="Arial"/>
        <family val="2"/>
      </rPr>
      <t>www.profor.info/sites/profor.info /files/docs/ Miombo_web.pdf</t>
    </r>
  </si>
  <si>
    <r>
      <t xml:space="preserve">Edwards, Ian, November 1982a.  “Regeneration of Miombo Woodlands and their Potential for the Production of Fuelwood.”  FRIM Report No. 82036.  Forestry Research Institute of Malawi, Zomba.   </t>
    </r>
    <r>
      <rPr>
        <sz val="10"/>
        <color rgb="FF000000"/>
        <rFont val="Arial"/>
        <family val="2"/>
      </rPr>
      <t>www.joyhecht.net/mulanje/refs/</t>
    </r>
    <r>
      <rPr>
        <sz val="10"/>
        <color theme="1"/>
        <rFont val="Arial"/>
      </rPr>
      <t xml:space="preserve">Edwards-Miombo-1982a.pdf  </t>
    </r>
  </si>
  <si>
    <t>Frost, P. 1996. The ecology of miombo woodlands. In: Campbell, B. (ed.). The miombo in transition:</t>
  </si>
  <si>
    <t>woodlands and welfare in Africa. CIFOR, Bogor. pp. 11-58.  www.cifor.org/publications/ pdf_files/Books/ Miombo.pdf</t>
  </si>
  <si>
    <t>Government of Malawi, 2010. “Population and Housing Census 2008: Economic Activity” Analytical Report Volume 10. National Statistical Office, Zomba.  www.nsomalawi.mw/index.php?option=</t>
  </si>
  <si>
    <t>com_content&amp;view=article&amp;id=106&amp;Itemid=6</t>
  </si>
  <si>
    <t>Government of Malawi, 2010, “Forest Act (Cap. 63:01) Forestry (Amendment) Rules 2010”  The Malawi Gazette Supplement, dated 3 December 2010, containing Rules, Regulations, etc.  (No. 13a, p. 209)</t>
  </si>
  <si>
    <t>Government of Malawi, National Statistical Office, 2008, “2008 Population and Housing Census Results: Main Report”  http://www.nsomalawi.mw/index.php?option=com_content&amp;view= article&amp;id=107%3A2008-population-and-housing-census-results&amp;catid=8&amp;Itemid=6</t>
  </si>
  <si>
    <t>Government of Malawi, National Statistical Office (NSO) and ICF Macro.2011. Malawi Demographic and Health Survey 2010. Zomba, Malawi, and Calverton, Maryland, USA: NSO and ICF Macro.  http://www.nsomalawi.mw/index.php?option=com_content&amp;view=article&amp;id=175&amp;Itemid=46 or www.nsomalawi.mw/images/stories/data_on_line/demography/MDHS2010/MDHS2010%20report.pdf (direct link)</t>
  </si>
  <si>
    <t>Hecht Joy E., (2005). National Environmental Accounting : Bridging the Gap Between Ecology and Economy.Resources for the Future. Washignton DC: USA.</t>
  </si>
  <si>
    <t>Hecht Joy E., 2006. “Valuing the resources of Mulanje Mountain: current and projected use under alternate management scenarios” Occasional Paper No. 14, Community Partnership for Sustainable Resource Management in Malawi (Compass II) http://www.joyhecht.net/mulanje/ OP14-MulanjeValuationresultsHecht-v2.pdf.</t>
  </si>
  <si>
    <t>Kafakoma Robert and Bennet Mataya, 2009. “Timber value chain analysis for Viphya plantation”, Malawi’s Forest Governance Learning Group.</t>
  </si>
  <si>
    <t>Kambewa Patrick S., Bennet F. Mataya, Killy W. Sichinga and Todd R. Johnson, 2007. “ Charcoal: The Reality - A Study of Charcoal Consumption, Trade and Production in Malawi”   A Technical Report submitted to the Forest Governance Learning Group (FGLG) Malawi country programme and prepared under USAID/Malawi Contract Number 690-C-00-04-00090-00 entitled Community Partnerships for Sustainable Resource Management in Malawi (COMPASS II). http://pubs.iied.org/pdfs/13544IIED.pdf</t>
  </si>
  <si>
    <r>
      <t xml:space="preserve">Kasulo Victor, Joel Luhanga, 2005.  “Forest Resource Accounting for Improved National Income Accounts of Malawi”, Research Report Submitted to the Organisation for Social Science Research in Eastern and Southern Africa (OSSREA) </t>
    </r>
    <r>
      <rPr>
        <i/>
        <sz val="10"/>
        <color theme="1"/>
        <rFont val="Arial"/>
        <family val="2"/>
      </rPr>
      <t>www.eldis.org/vfile/.../Malawi_forest_accounts2005.pdf</t>
    </r>
  </si>
  <si>
    <t>Katila Marko and Bright Sibale (2013). “Inception report: Malawi Forest Sector Financing Strategy” Department of Forestry, Lilongwe.</t>
  </si>
  <si>
    <t>Lowore , Janet, 2001. “Natural Resource Based Enterprises in Malawi: Study on the contribution of NRBEs to economic development and community-based natural resource management in Machinga District” Report prepare for the Community Partnerships for Sustainable Resource Management in Malawi. http://rmportal.net/library/content/frame/doc-29-nrbes.doc</t>
  </si>
  <si>
    <r>
      <t>Lowore, Janet, 2003. “Miombo Woodlands and Rural Livelihoods in Malawi:</t>
    </r>
    <r>
      <rPr>
        <sz val="10"/>
        <color theme="1"/>
        <rFont val="Arial"/>
      </rPr>
      <t xml:space="preserve"> An in-depth analysis and</t>
    </r>
  </si>
  <si>
    <r>
      <t>critical review based on literature research”.</t>
    </r>
    <r>
      <rPr>
        <sz val="10"/>
        <color rgb="FF000000"/>
        <rFont val="Arial"/>
        <family val="2"/>
      </rPr>
      <t xml:space="preserve">  Prepared for the Center for International Forestry, Harare, Zimbabwe.  www.joyhecht.net/mulanje/refs/Lowore-Miombo-Livelihoods-2003.pdf</t>
    </r>
  </si>
  <si>
    <t>Lowore, Janet, 2006. “Miombo woodlands and rural livelihoods in Malawi.” Center for International Forestry Research (CIFOR), Bogor, Indonesia.</t>
  </si>
  <si>
    <r>
      <t xml:space="preserve">Lowore, Jimmy D. and Patrick G. Abbot, “Stackwood Volume Estimations for Miombo Woodlands in Malawi.”  FRIM Report No. 93009.  Forest Research Institute of Malawi.  </t>
    </r>
    <r>
      <rPr>
        <sz val="10"/>
        <color rgb="FF000000"/>
        <rFont val="Arial"/>
        <family val="2"/>
      </rPr>
      <t>www.joyhecht.net/mulanje/refs/</t>
    </r>
    <r>
      <rPr>
        <sz val="10"/>
        <color theme="1"/>
        <rFont val="Arial"/>
      </rPr>
      <t>Lowore-Abbot-Volume-1993.pdf</t>
    </r>
  </si>
  <si>
    <r>
      <t>LTS International, Inc., June 2011a, “</t>
    </r>
    <r>
      <rPr>
        <sz val="10"/>
        <color theme="1"/>
        <rFont val="Arial"/>
      </rPr>
      <t xml:space="preserve">Malawi:  Environmental and Natural Resources Management Action Plan for the Upper Shire Basin, Baseline Analysis, Final”  Solicitation: RFP-MCC-10-0033-60 DUNS Number: 29-849-7801 Millennium Challenge Corporation   </t>
    </r>
  </si>
  <si>
    <t>LTS International, Inc., June 2011b, “Malawi:  Economic Analysis of the Environment and Natural Resources Management Action Plan (ENRMAP) for the Upper Shire Basin”  RFP MCC 10 0033 60DUNS Number: 29 849 7801, Millennium Challenge Corporation</t>
  </si>
  <si>
    <t>Luhanga, Joel, 2009, “The Timber Trade in Malawi”  Resource Insight. No. 7, May 2009.  Published by Southern Africa Resource Watch.  http://www.sarwatch.org/publications/resource-insight/37-resources-insight/423-the-timber-trade-in-malawi.html</t>
  </si>
  <si>
    <t>Magombo, Alice, 2011. “The Development of Tourism and the Accommodation Sector in Malawi Since Independence”  A research report submitted to the Faculty of Humanities, University of the Witwatersrand, in partial fulfillment of the requirements for the degree of Master of Arts by coursework in Tourism Studies. wiredspace.wits.ac.za/bitstream/handle/10539/11424/The Development of the Tourism and the Accommodation Sector in Malawi since Independence.pdf</t>
  </si>
  <si>
    <r>
      <t>Maity, Soumen, (2012) “Cleaner brick production in Malawi –potentials and challenges”   Presentation at Bridgeviews Hotel Lilongwe, Malawi 12</t>
    </r>
    <r>
      <rPr>
        <vertAlign val="superscript"/>
        <sz val="10"/>
        <color theme="1"/>
        <rFont val="Arial"/>
      </rPr>
      <t>th</t>
    </r>
    <r>
      <rPr>
        <sz val="10"/>
        <color theme="1"/>
        <rFont val="Arial"/>
      </rPr>
      <t xml:space="preserve"> June 2012.   http://businessinnovationfacility.org/page/ event-public-stakeholder-consultation-for-clean-brick-production-</t>
    </r>
  </si>
  <si>
    <t xml:space="preserve">Makungwa, Stephen David, March 1997.  “Charcoal Production Study in Blantyre Area”  FRIM Report No. 97003.   Forest Research Institute of Malawi, Zomba.  www.joyhecht.net/mulanje/refs/Makungwa-Charcoal-1997.pdf  </t>
  </si>
  <si>
    <r>
      <t xml:space="preserve">Makungwa Steve, 2008.  “Forest Policy Indicators” A report produced for monitoring the implementation of the </t>
    </r>
    <r>
      <rPr>
        <sz val="10"/>
        <color theme="1"/>
        <rFont val="Arial"/>
      </rPr>
      <t>Food and Nutrition Security Policy. Bu</t>
    </r>
    <r>
      <rPr>
        <sz val="10"/>
        <color rgb="FF000000"/>
        <rFont val="Arial"/>
        <family val="2"/>
      </rPr>
      <t>nda College, Lilongwe.</t>
    </r>
  </si>
  <si>
    <t>Makungwa Steve, 2008.  “Wood Fuel Consumption in Commercial and Institutional Sectors of Malawi” A study conducted for the development of Biomass Energy Strategy for Malawi, Bunda College of Agriculture, Lilongwe.</t>
  </si>
  <si>
    <r>
      <t xml:space="preserve">Malawi Environmental Affairs Department 2010, “Malawi State of the Environment and Outlook Report” Lilongwe </t>
    </r>
    <r>
      <rPr>
        <i/>
        <sz val="10"/>
        <color theme="1"/>
        <rFont val="Arial"/>
        <family val="2"/>
      </rPr>
      <t>www.eadmw.org/docs/soer.pdf</t>
    </r>
  </si>
  <si>
    <t>Malawi Government, 2012. “Integrated Household Survey 2010 – 2011: Basic Information Document”  National Statistical Office, Zomba. http://go.worldbank.org/OGPXWPLPL0.</t>
  </si>
  <si>
    <t>Malawi Government, 2012. “Integrated Household Survey 2010 – 2011: Data sets” National Statistical Office, Zomba. http://go.worldbank.org/OGPXWPLPL0.</t>
  </si>
  <si>
    <t>Malawi Government, 2012.“Integrated Household Survey 2010 – 2011, Survey Questionnaires” National Statistical Office, Zomba.http://go.worldbank.org/OGPXWPLPL0.</t>
  </si>
  <si>
    <t>Malawi Government, 2012.  “Malawi Growth and Development Strategy II 2011 – 2016”. Ministry of Economic Planning and Development, Lilongwe http://www.unpei.org/what-we-do/pei-countries/Malawi</t>
  </si>
  <si>
    <t>Malawi Government, National Audit Office, 2011.  "Performance Audit Report on the Economic Performance and Environmental Sustainability of the Viphya Plantations in the Ministry of Natural Resources, Energy and Environmental Affairs (Department Of Forestry)"  http://www.nao.mw/Reports/ Viphya Final report October 2011.pdf</t>
  </si>
  <si>
    <t xml:space="preserve">Malawichi, Cecilia Promise, 2002, "Traditional Meidcine Trade:  A Case of Malawi"  health.groups.yahoo.com/group/Phytomedica/message/1164?unwrap=1&amp;var=1 </t>
  </si>
  <si>
    <t>Marzoli, A. 2007. “Inventário fl orestal nacional” (Draft Report). Avaliação florestal integrada de Moçambique. Ministério da Agricultura. Maputo, Mozambique.  Cited in Dewees et al, p. 35.</t>
  </si>
  <si>
    <t>Mauambeta, Daulos D.C., David Chitedze, Reginald Mumba, Stella Gama, 2010.“Status of Forests and Tree Management in Malawi”.A Position Paper Prepared for the Coordination Union for Rehabilitation of the Environment (CURE).www.cepa.org.mw/documents/general_documents/STATUS OF FORESTS AND TREE MANAGEMENT IN MALAWI PAPER-.pdf</t>
  </si>
  <si>
    <r>
      <t xml:space="preserve">Misana, S., G.C. Jambiya, and B. Mchome. 2005. “Charcoal Potential of Miombo Woodlands at Kitulangalo, Tanzania.” </t>
    </r>
    <r>
      <rPr>
        <i/>
        <sz val="10"/>
        <color rgb="FF231F20"/>
        <rFont val="Arial"/>
      </rPr>
      <t xml:space="preserve">Journal of Tropical Forest Science </t>
    </r>
    <r>
      <rPr>
        <sz val="10"/>
        <color rgb="FF231F20"/>
        <rFont val="Arial"/>
      </rPr>
      <t>17: 197–210.  Cited in Dewees et al, p. 35.</t>
    </r>
  </si>
  <si>
    <t>Ngulube, Mzoma R., 1999.  "The Utilization of Non-Timber Forest Products from the Miombo Woodlands of Malawi:  A Case Study"  Forestry Research Institute of Malawi, Zomba.  http://www.dfid.gov.uk/r4d/Output/10138/Default.aspx</t>
  </si>
  <si>
    <r>
      <t xml:space="preserve">Owen, Matthew, Keith Openshaw, Robert van der Plas, Michael Matly and Mark Hankins, 2009. “Malawi Biomass Energy Strategy”, Consultancy study for Government of Malawi and European Union Partnership Dialogue Facility. Marchéage et Gestion de l’Environnement (MARGE), Lilongwe. </t>
    </r>
    <r>
      <rPr>
        <i/>
        <sz val="10"/>
        <color theme="1"/>
        <rFont val="Arial"/>
        <family val="2"/>
      </rPr>
      <t>http://www.euei-pdf.org/country-studies/biomass-energy-strategy-best-malawi.</t>
    </r>
  </si>
  <si>
    <t>Pearce, David W., 2001. The Economic Value of Forest Ecosystems. Ecosystem Health 7(4):284-296</t>
  </si>
  <si>
    <r>
      <t xml:space="preserve">Repetto, Robert et al, 1989, </t>
    </r>
    <r>
      <rPr>
        <i/>
        <sz val="10"/>
        <color theme="1"/>
        <rFont val="Arial"/>
        <family val="2"/>
      </rPr>
      <t>Wasting Assets:  Natural Resources in the National Income Accounts.</t>
    </r>
    <r>
      <rPr>
        <sz val="10"/>
        <color theme="1"/>
        <rFont val="Arial"/>
      </rPr>
      <t xml:space="preserve">  (Washington, D.C.:  World Resources Institute)  </t>
    </r>
  </si>
  <si>
    <t xml:space="preserve">Republic of Malawi, 2012. “Integrated Household Survey 2010 – 2011.” Household socio-Economic Characteristics Report, National Statistical Office, Zomba. </t>
  </si>
  <si>
    <t>Sherchand, Bagie Undated  “Redd Credits Boost Community Partnerships for Biodiversity Conservation In Malawi”, COMPASS II. http://rmportal.net/library/content/tools/compass-ii/redd-credits-boost-community-partnerships-for-biodiversity-conservation-in-malawi</t>
  </si>
  <si>
    <t>UN Statistics Division, undated, “A Note on the Situation and Challenges of Environmental Statistics in Malawi.”  unstats.un.org/unsd/environment/envpdf/UNSD_UNEP_ECA Workshop/Malawi.pdf.</t>
  </si>
  <si>
    <t>World Bank, 2012. “Shire River basin management program (phase-i) project” Project Appraisal Document, Report No: 69041-MW http://documents.worldbank.org/curated/en/2012/05/16462826/malawi-adaptable-program-loan-shire-river-basin-management-program-project</t>
  </si>
  <si>
    <t xml:space="preserve">WWF (Worldwide Fund For Nature), 2006. “Report on the Management Effectiveness of Protected Areas in Malawi Using WWF’s RAPPAM Methodology” </t>
  </si>
  <si>
    <t>Yaron Gil, Ronald Mangani, John Mlava, Patrick Kambewa, Steve Makungwa, Austin Mtethiwa</t>
  </si>
  <si>
    <t>Spy Munthali, William Mgoola, and John Kazembe (2011). “Economic Valuation of Sustainable Natural Resource Use in Malawi”, Ministry of Finance and Development Planning, Lilongwe.</t>
  </si>
  <si>
    <t>Zulu Leo Charles, (2010). The forbidden fuel: Charcoal, urban wood fuel demand and supply dynamics, community forest management and woodfuel policy in Malawi.  Energy Policy 38 (2010) 3717–3730.</t>
  </si>
  <si>
    <t>Adger Neil, Katrina Brown, Raffaello Cervigni, Dominic Moran. 1994? “Towards Estimating Total Economic Value of Forests in Mexico” Cserge Working Paper Gec 94-21.millenniumindicators.un.org/unsd/envaccounting/ceea/archiveForest/TEV_Mexican_Forest.PDF</t>
  </si>
  <si>
    <t>Detailed Revenue Return by Cost Center</t>
  </si>
  <si>
    <t>Ministry of Environment and Climate Change Management</t>
  </si>
  <si>
    <t>2010 Monthly production and Sales of Forestry Produce</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</si>
</sst>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64" formatCode="_(* #,##0_);_(* \(#,##0\);_(* &quot;-&quot;_);_(@_)"/>
    <numFmt numFmtId="165" formatCode="_(* #,##0.00_);_(* \(#,##0.00\);_(* &quot;-&quot;??_);_(@_)"/>
    <numFmt numFmtId="166" formatCode="_(&quot;$&quot;* #,##0.00_);_(&quot;$&quot;* \(#,##0.00\);_(&quot;$&quot;* &quot;-&quot;??_);_(@_)"/>
    <numFmt numFmtId="167" formatCode="_ * #,##0.00_ ;_ * \-#,##0.00_ ;_ * &quot;-&quot;??_ ;_ @_ "/>
    <numFmt numFmtId="168" formatCode="[$MWK]\ #,##0"/>
    <numFmt numFmtId="169" formatCode="[$MWK]\ #,##0.00"/>
    <numFmt numFmtId="170" formatCode="[$$-1009]#,##0.00"/>
    <numFmt numFmtId="171" formatCode="[$$-1009]#,##0"/>
    <numFmt numFmtId="172" formatCode="0.0%"/>
    <numFmt numFmtId="173" formatCode="[$MWK]\ #,##0_);\([$MWK]\ #,##0\)"/>
    <numFmt numFmtId="174" formatCode="0.000"/>
    <numFmt numFmtId="175" formatCode="#,##0.0"/>
    <numFmt numFmtId="176" formatCode="&quot;US$&quot;#,##0.00"/>
    <numFmt numFmtId="177" formatCode="_(* #,##0_);_(* \(#,##0\);_(* &quot;-&quot;??_);_(@_)"/>
    <numFmt numFmtId="178" formatCode="0.0000000000"/>
    <numFmt numFmtId="179" formatCode="_(* #,##0.0000_);_(* \(#,##0.0000\);_(* &quot;-&quot;??_);_(@_)"/>
    <numFmt numFmtId="180" formatCode="0.0000"/>
    <numFmt numFmtId="181" formatCode="_(&quot;$&quot;* #,##0_);_(&quot;$&quot;* \(#,##0\);_(&quot;$&quot;* &quot;-&quot;??_);_(@_)"/>
    <numFmt numFmtId="182" formatCode="0.000%"/>
    <numFmt numFmtId="183" formatCode="_(* #,##0.000_);_(* \(#,##0.000\);_(* &quot;-&quot;??_);_(@_)"/>
    <numFmt numFmtId="184" formatCode="_([$$-409]* #,##0.00_);_([$$-409]* \(#,##0.00\);_([$$-409]* &quot;-&quot;??_);_(@_)"/>
  </numFmts>
  <fonts count="10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b/>
      <sz val="10"/>
      <name val="Calibri"/>
      <family val="2"/>
      <scheme val="minor"/>
    </font>
    <font>
      <sz val="11"/>
      <name val="Calibri"/>
      <family val="2"/>
      <scheme val="minor"/>
    </font>
    <font>
      <sz val="12"/>
      <color theme="1"/>
      <name val="Calibri"/>
      <family val="2"/>
      <scheme val="minor"/>
    </font>
    <font>
      <b/>
      <sz val="12"/>
      <color theme="1"/>
      <name val="Calibri"/>
      <family val="2"/>
      <scheme val="minor"/>
    </font>
    <font>
      <u/>
      <sz val="11"/>
      <color theme="10"/>
      <name val="Calibri"/>
      <family val="2"/>
      <scheme val="minor"/>
    </font>
    <font>
      <u/>
      <sz val="11"/>
      <color theme="11"/>
      <name val="Calibri"/>
      <family val="2"/>
      <scheme val="minor"/>
    </font>
    <font>
      <i/>
      <sz val="12"/>
      <color rgb="FFFF0000"/>
      <name val="Calibri"/>
      <scheme val="minor"/>
    </font>
    <font>
      <sz val="10"/>
      <color theme="1"/>
      <name val="Calibri"/>
      <scheme val="minor"/>
    </font>
    <font>
      <sz val="12"/>
      <color rgb="FF000000"/>
      <name val="Calibri"/>
      <family val="2"/>
      <scheme val="minor"/>
    </font>
    <font>
      <b/>
      <sz val="20"/>
      <color rgb="FFFFFFFF"/>
      <name val="Arial"/>
    </font>
    <font>
      <sz val="24"/>
      <color theme="1"/>
      <name val="Calibri"/>
      <scheme val="minor"/>
    </font>
    <font>
      <sz val="24"/>
      <color rgb="FF7F7F7F"/>
      <name val="Calibri"/>
      <scheme val="minor"/>
    </font>
    <font>
      <sz val="11"/>
      <color theme="1"/>
      <name val="Calibri"/>
      <scheme val="minor"/>
    </font>
    <font>
      <sz val="9"/>
      <color rgb="FF000000"/>
      <name val="Arial"/>
    </font>
    <font>
      <sz val="11"/>
      <color rgb="FF000000"/>
      <name val="Calibri"/>
    </font>
    <font>
      <b/>
      <sz val="11"/>
      <color rgb="FF000000"/>
      <name val="Calibri"/>
    </font>
    <font>
      <b/>
      <sz val="9"/>
      <color rgb="FF000000"/>
      <name val="Arial"/>
    </font>
    <font>
      <sz val="9"/>
      <color theme="1"/>
      <name val="Calibri"/>
      <scheme val="minor"/>
    </font>
    <font>
      <sz val="10"/>
      <color indexed="9"/>
      <name val="Arial"/>
    </font>
    <font>
      <b/>
      <sz val="10"/>
      <color indexed="8"/>
      <name val="Arial"/>
      <family val="2"/>
    </font>
    <font>
      <sz val="10"/>
      <color indexed="8"/>
      <name val="Arial"/>
      <family val="2"/>
    </font>
    <font>
      <b/>
      <sz val="10"/>
      <color indexed="9"/>
      <name val="Arial"/>
      <family val="2"/>
    </font>
    <font>
      <b/>
      <strike/>
      <sz val="10"/>
      <name val="Arial"/>
      <family val="2"/>
    </font>
    <font>
      <sz val="10"/>
      <color theme="1"/>
      <name val="Arial"/>
    </font>
    <font>
      <strike/>
      <sz val="10"/>
      <color theme="1"/>
      <name val="Arial"/>
    </font>
    <font>
      <b/>
      <sz val="12"/>
      <name val="Arial"/>
    </font>
    <font>
      <b/>
      <sz val="10"/>
      <color theme="1"/>
      <name val="Arial"/>
    </font>
    <font>
      <b/>
      <sz val="14"/>
      <color indexed="9"/>
      <name val="Arial Black"/>
      <family val="2"/>
    </font>
    <font>
      <sz val="8"/>
      <name val="CG Omega"/>
      <family val="2"/>
    </font>
    <font>
      <sz val="11"/>
      <color indexed="9"/>
      <name val="Calibri"/>
      <scheme val="minor"/>
    </font>
    <font>
      <sz val="11"/>
      <color rgb="FF000000"/>
      <name val="Calibri"/>
      <family val="2"/>
      <scheme val="minor"/>
    </font>
    <font>
      <b/>
      <sz val="14"/>
      <color theme="1"/>
      <name val="Calibri"/>
      <scheme val="minor"/>
    </font>
    <font>
      <sz val="10"/>
      <name val="Courier"/>
      <family val="3"/>
    </font>
    <font>
      <b/>
      <sz val="10"/>
      <color rgb="FF000000"/>
      <name val="Arial"/>
      <family val="2"/>
    </font>
    <font>
      <sz val="10"/>
      <color indexed="10"/>
      <name val="Arial"/>
      <family val="2"/>
    </font>
    <font>
      <sz val="11"/>
      <color indexed="8"/>
      <name val="Calibri"/>
      <family val="2"/>
    </font>
    <font>
      <sz val="14"/>
      <color theme="1"/>
      <name val="Arial"/>
      <family val="2"/>
    </font>
    <font>
      <b/>
      <sz val="11"/>
      <name val="Calibri"/>
      <family val="2"/>
      <scheme val="minor"/>
    </font>
    <font>
      <sz val="24"/>
      <color theme="1"/>
      <name val="Calibri"/>
      <family val="2"/>
      <scheme val="minor"/>
    </font>
    <font>
      <sz val="12"/>
      <color rgb="FFFF0000"/>
      <name val="Calibri"/>
      <family val="2"/>
      <scheme val="minor"/>
    </font>
    <font>
      <b/>
      <sz val="16"/>
      <color theme="1"/>
      <name val="Calibri"/>
      <family val="2"/>
      <scheme val="minor"/>
    </font>
    <font>
      <sz val="11"/>
      <color theme="0"/>
      <name val="Calibri"/>
      <family val="2"/>
      <scheme val="minor"/>
    </font>
    <font>
      <b/>
      <sz val="16"/>
      <color theme="0"/>
      <name val="Calibri"/>
      <family val="2"/>
      <scheme val="minor"/>
    </font>
    <font>
      <b/>
      <sz val="16"/>
      <color theme="0"/>
      <name val="Arial Black"/>
      <family val="2"/>
    </font>
    <font>
      <b/>
      <sz val="14"/>
      <color theme="0"/>
      <name val="Calibri"/>
      <family val="2"/>
      <scheme val="minor"/>
    </font>
    <font>
      <sz val="10"/>
      <color rgb="FF000000"/>
      <name val="Calibri"/>
      <family val="2"/>
    </font>
    <font>
      <b/>
      <sz val="10"/>
      <color rgb="FF000000"/>
      <name val="Calibri"/>
      <family val="2"/>
    </font>
    <font>
      <sz val="10"/>
      <color theme="1"/>
      <name val="Calibri"/>
      <family val="2"/>
      <scheme val="minor"/>
    </font>
    <font>
      <b/>
      <sz val="11"/>
      <color theme="0"/>
      <name val="Calibri"/>
      <family val="2"/>
      <scheme val="minor"/>
    </font>
    <font>
      <sz val="10"/>
      <color theme="1"/>
      <name val="Arial"/>
      <family val="2"/>
    </font>
    <font>
      <sz val="9"/>
      <color theme="1"/>
      <name val="Calibri"/>
      <family val="2"/>
      <scheme val="minor"/>
    </font>
    <font>
      <i/>
      <sz val="11"/>
      <color theme="1"/>
      <name val="Calibri"/>
      <family val="2"/>
      <scheme val="minor"/>
    </font>
    <font>
      <b/>
      <sz val="10"/>
      <color theme="1"/>
      <name val="Calibri"/>
      <family val="2"/>
      <scheme val="minor"/>
    </font>
    <font>
      <sz val="10"/>
      <color theme="0"/>
      <name val="Calibri"/>
      <family val="2"/>
      <scheme val="minor"/>
    </font>
    <font>
      <sz val="10"/>
      <color rgb="FF000000"/>
      <name val="Calibri"/>
      <family val="2"/>
      <scheme val="minor"/>
    </font>
    <font>
      <sz val="9"/>
      <color rgb="FF000000"/>
      <name val="Calibri"/>
      <family val="2"/>
      <scheme val="minor"/>
    </font>
    <font>
      <sz val="9"/>
      <name val="Calibri"/>
      <family val="2"/>
      <scheme val="minor"/>
    </font>
    <font>
      <sz val="10"/>
      <color rgb="FF000000"/>
      <name val="Arial"/>
      <family val="2"/>
    </font>
    <font>
      <i/>
      <sz val="10"/>
      <color theme="1"/>
      <name val="Arial"/>
      <family val="2"/>
    </font>
    <font>
      <sz val="9"/>
      <color rgb="FF000000"/>
      <name val="Arial"/>
      <family val="2"/>
    </font>
    <font>
      <sz val="12"/>
      <name val="Calibri"/>
      <family val="2"/>
      <scheme val="minor"/>
    </font>
    <font>
      <b/>
      <sz val="10"/>
      <color theme="1"/>
      <name val="Arial"/>
      <family val="2"/>
    </font>
    <font>
      <sz val="10"/>
      <color theme="1"/>
      <name val="Times New Roman"/>
      <family val="1"/>
    </font>
    <font>
      <sz val="10"/>
      <color theme="1"/>
      <name val="Cambria"/>
      <family val="1"/>
    </font>
    <font>
      <sz val="16"/>
      <color theme="0"/>
      <name val="Arial"/>
      <family val="2"/>
    </font>
    <font>
      <sz val="10"/>
      <color theme="0"/>
      <name val="Arial"/>
      <family val="2"/>
    </font>
    <font>
      <sz val="11"/>
      <color theme="1"/>
      <name val="Arial"/>
      <family val="2"/>
    </font>
    <font>
      <sz val="11"/>
      <color theme="0"/>
      <name val="Arial"/>
      <family val="2"/>
    </font>
    <font>
      <b/>
      <sz val="14"/>
      <color theme="0"/>
      <name val="Arial Black"/>
    </font>
    <font>
      <b/>
      <sz val="11"/>
      <color rgb="FF000000"/>
      <name val="Arial"/>
    </font>
    <font>
      <b/>
      <sz val="11"/>
      <color theme="1"/>
      <name val="Arial"/>
      <family val="2"/>
    </font>
    <font>
      <sz val="16"/>
      <color theme="1"/>
      <name val="Calibri"/>
      <family val="2"/>
      <scheme val="minor"/>
    </font>
    <font>
      <sz val="16"/>
      <color theme="1"/>
      <name val="Arial Black"/>
    </font>
    <font>
      <sz val="16"/>
      <color theme="0"/>
      <name val="Arial Black"/>
    </font>
    <font>
      <sz val="11"/>
      <color theme="0"/>
      <name val="Arial Black"/>
    </font>
    <font>
      <b/>
      <sz val="11"/>
      <color indexed="8"/>
      <name val="Calibri"/>
      <family val="2"/>
    </font>
    <font>
      <sz val="11"/>
      <name val="Calibri"/>
      <family val="2"/>
    </font>
    <font>
      <sz val="12"/>
      <color theme="0"/>
      <name val="Calibri"/>
      <family val="2"/>
      <scheme val="minor"/>
    </font>
    <font>
      <sz val="11"/>
      <color theme="1"/>
      <name val="Arial Black"/>
    </font>
    <font>
      <b/>
      <vertAlign val="superscript"/>
      <sz val="12"/>
      <color theme="1"/>
      <name val="Calibri"/>
      <scheme val="minor"/>
    </font>
    <font>
      <sz val="10"/>
      <color theme="0"/>
      <name val="Arial Black"/>
    </font>
    <font>
      <sz val="10"/>
      <color theme="1"/>
      <name val="Arial Black"/>
    </font>
    <font>
      <b/>
      <sz val="12"/>
      <color rgb="FF008000"/>
      <name val="Calibri"/>
      <family val="2"/>
      <scheme val="minor"/>
    </font>
    <font>
      <sz val="12"/>
      <color rgb="FF008000"/>
      <name val="Calibri"/>
      <family val="2"/>
      <scheme val="minor"/>
    </font>
    <font>
      <b/>
      <sz val="10"/>
      <color rgb="FF008000"/>
      <name val="Arial"/>
    </font>
    <font>
      <b/>
      <sz val="10"/>
      <color rgb="FF003300"/>
      <name val="Arial"/>
    </font>
    <font>
      <b/>
      <sz val="11"/>
      <color theme="0"/>
      <name val="Arial"/>
    </font>
    <font>
      <sz val="10"/>
      <color theme="1"/>
      <name val="MS Gothic"/>
    </font>
    <font>
      <sz val="10"/>
      <color rgb="FF231F20"/>
      <name val="Arial"/>
    </font>
    <font>
      <i/>
      <sz val="10"/>
      <color rgb="FF231F20"/>
      <name val="Arial"/>
    </font>
    <font>
      <vertAlign val="superscript"/>
      <sz val="10"/>
      <color theme="1"/>
      <name val="Arial"/>
    </font>
  </fonts>
  <fills count="5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CCFFCC"/>
        <bgColor indexed="64"/>
      </patternFill>
    </fill>
    <fill>
      <patternFill patternType="solid">
        <fgColor rgb="FFFFFFFF"/>
        <bgColor indexed="64"/>
      </patternFill>
    </fill>
    <fill>
      <patternFill patternType="solid">
        <fgColor indexed="12"/>
        <bgColor indexed="64"/>
      </patternFill>
    </fill>
    <fill>
      <patternFill patternType="solid">
        <fgColor indexed="45"/>
        <bgColor indexed="64"/>
      </patternFill>
    </fill>
    <fill>
      <patternFill patternType="solid">
        <fgColor rgb="FF999DFD"/>
        <bgColor indexed="64"/>
      </patternFill>
    </fill>
    <fill>
      <patternFill patternType="solid">
        <fgColor rgb="FFF1FF77"/>
        <bgColor indexed="64"/>
      </patternFill>
    </fill>
    <fill>
      <patternFill patternType="solid">
        <fgColor rgb="FFFFF4AB"/>
        <bgColor indexed="64"/>
      </patternFill>
    </fill>
    <fill>
      <patternFill patternType="solid">
        <fgColor rgb="FFC9FBFD"/>
        <bgColor indexed="64"/>
      </patternFill>
    </fill>
    <fill>
      <patternFill patternType="solid">
        <fgColor theme="7" tint="-0.249977111117893"/>
        <bgColor indexed="64"/>
      </patternFill>
    </fill>
    <fill>
      <patternFill patternType="solid">
        <fgColor rgb="FFC19EFF"/>
        <bgColor indexed="64"/>
      </patternFill>
    </fill>
    <fill>
      <patternFill patternType="solid">
        <fgColor rgb="FFFFFD8F"/>
        <bgColor indexed="64"/>
      </patternFill>
    </fill>
    <fill>
      <patternFill patternType="solid">
        <fgColor theme="6"/>
        <bgColor indexed="64"/>
      </patternFill>
    </fill>
    <fill>
      <patternFill patternType="solid">
        <fgColor theme="3" tint="0.79998168889431442"/>
        <bgColor indexed="64"/>
      </patternFill>
    </fill>
    <fill>
      <patternFill patternType="solid">
        <fgColor rgb="FFFF0000"/>
        <bgColor indexed="64"/>
      </patternFill>
    </fill>
    <fill>
      <patternFill patternType="solid">
        <fgColor theme="6" tint="-0.249977111117893"/>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rgb="FF89EB07"/>
        <bgColor indexed="64"/>
      </patternFill>
    </fill>
    <fill>
      <patternFill patternType="solid">
        <fgColor rgb="FF0070C0"/>
        <bgColor indexed="64"/>
      </patternFill>
    </fill>
    <fill>
      <patternFill patternType="solid">
        <fgColor rgb="FFFFC000"/>
        <bgColor indexed="64"/>
      </patternFill>
    </fill>
    <fill>
      <patternFill patternType="solid">
        <fgColor theme="5" tint="0.59999389629810485"/>
        <bgColor indexed="64"/>
      </patternFill>
    </fill>
    <fill>
      <patternFill patternType="solid">
        <fgColor rgb="FF9AFEC0"/>
        <bgColor indexed="64"/>
      </patternFill>
    </fill>
    <fill>
      <patternFill patternType="solid">
        <fgColor theme="2" tint="-0.249977111117893"/>
        <bgColor indexed="64"/>
      </patternFill>
    </fill>
    <fill>
      <patternFill patternType="solid">
        <fgColor rgb="FF0000FF"/>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0000D4"/>
        <bgColor indexed="64"/>
      </patternFill>
    </fill>
    <fill>
      <patternFill patternType="solid">
        <fgColor rgb="FFE6E3FF"/>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13603C"/>
        <bgColor indexed="64"/>
      </patternFill>
    </fill>
    <fill>
      <patternFill patternType="solid">
        <fgColor rgb="FFBCBD45"/>
        <bgColor indexed="64"/>
      </patternFill>
    </fill>
    <fill>
      <patternFill patternType="solid">
        <fgColor rgb="FF15E5C7"/>
        <bgColor indexed="64"/>
      </patternFill>
    </fill>
    <fill>
      <patternFill patternType="solid">
        <fgColor rgb="FFBDBBFF"/>
        <bgColor indexed="64"/>
      </patternFill>
    </fill>
    <fill>
      <patternFill patternType="solid">
        <fgColor rgb="FF60400A"/>
        <bgColor indexed="64"/>
      </patternFill>
    </fill>
    <fill>
      <patternFill patternType="solid">
        <fgColor theme="1" tint="4.9989318521683403E-2"/>
        <bgColor indexed="64"/>
      </patternFill>
    </fill>
    <fill>
      <patternFill patternType="solid">
        <fgColor rgb="FFFDB646"/>
        <bgColor indexed="64"/>
      </patternFill>
    </fill>
    <fill>
      <patternFill patternType="solid">
        <fgColor rgb="FF6065D9"/>
        <bgColor indexed="64"/>
      </patternFill>
    </fill>
    <fill>
      <patternFill patternType="solid">
        <fgColor rgb="FFF07ABC"/>
        <bgColor indexed="64"/>
      </patternFill>
    </fill>
    <fill>
      <patternFill patternType="solid">
        <fgColor rgb="FF45BA33"/>
        <bgColor indexed="64"/>
      </patternFill>
    </fill>
    <fill>
      <patternFill patternType="solid">
        <fgColor theme="0" tint="-0.499984740745262"/>
        <bgColor indexed="64"/>
      </patternFill>
    </fill>
  </fills>
  <borders count="136">
    <border>
      <left/>
      <right/>
      <top/>
      <bottom/>
      <diagonal/>
    </border>
    <border>
      <left style="medium">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right/>
      <top/>
      <bottom style="thin">
        <color auto="1"/>
      </bottom>
      <diagonal/>
    </border>
    <border>
      <left style="medium">
        <color auto="1"/>
      </left>
      <right/>
      <top/>
      <bottom/>
      <diagonal/>
    </border>
    <border>
      <left style="medium">
        <color auto="1"/>
      </left>
      <right/>
      <top style="medium">
        <color auto="1"/>
      </top>
      <bottom style="medium">
        <color rgb="FF000000"/>
      </bottom>
      <diagonal/>
    </border>
    <border>
      <left/>
      <right/>
      <top style="medium">
        <color auto="1"/>
      </top>
      <bottom style="medium">
        <color rgb="FF000000"/>
      </bottom>
      <diagonal/>
    </border>
    <border>
      <left/>
      <right style="medium">
        <color rgb="FF000000"/>
      </right>
      <top style="medium">
        <color auto="1"/>
      </top>
      <bottom style="medium">
        <color rgb="FF000000"/>
      </bottom>
      <diagonal/>
    </border>
    <border>
      <left style="medium">
        <color auto="1"/>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auto="1"/>
      </bottom>
      <diagonal/>
    </border>
    <border>
      <left/>
      <right/>
      <top/>
      <bottom style="medium">
        <color auto="1"/>
      </bottom>
      <diagonal/>
    </border>
    <border>
      <left style="medium">
        <color auto="1"/>
      </left>
      <right style="medium">
        <color rgb="FF000000"/>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auto="1"/>
      </left>
      <right style="medium">
        <color rgb="FF000000"/>
      </right>
      <top/>
      <bottom/>
      <diagonal/>
    </border>
    <border>
      <left/>
      <right style="medium">
        <color rgb="FF000000"/>
      </right>
      <top/>
      <bottom/>
      <diagonal/>
    </border>
    <border>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rgb="FF000000"/>
      </bottom>
      <diagonal/>
    </border>
    <border>
      <left style="medium">
        <color auto="1"/>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auto="1"/>
      </bottom>
      <diagonal/>
    </border>
    <border>
      <left/>
      <right/>
      <top style="medium">
        <color rgb="FF000000"/>
      </top>
      <bottom style="medium">
        <color auto="1"/>
      </bottom>
      <diagonal/>
    </border>
    <border>
      <left/>
      <right style="medium">
        <color rgb="FF000000"/>
      </right>
      <top style="medium">
        <color rgb="FF000000"/>
      </top>
      <bottom style="medium">
        <color auto="1"/>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auto="1"/>
      </top>
      <bottom style="medium">
        <color rgb="FF000000"/>
      </bottom>
      <diagonal/>
    </border>
    <border>
      <left/>
      <right style="medium">
        <color auto="1"/>
      </right>
      <top style="medium">
        <color auto="1"/>
      </top>
      <bottom/>
      <diagonal/>
    </border>
    <border>
      <left style="medium">
        <color auto="1"/>
      </left>
      <right/>
      <top style="medium">
        <color rgb="FF000000"/>
      </top>
      <bottom/>
      <diagonal/>
    </border>
    <border>
      <left/>
      <right/>
      <top style="medium">
        <color auto="1"/>
      </top>
      <bottom/>
      <diagonal/>
    </border>
    <border>
      <left style="medium">
        <color auto="1"/>
      </left>
      <right style="medium">
        <color rgb="FF000000"/>
      </right>
      <top style="medium">
        <color auto="1"/>
      </top>
      <bottom/>
      <diagonal/>
    </border>
    <border>
      <left/>
      <right style="medium">
        <color rgb="FF000000"/>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auto="1"/>
      </bottom>
      <diagonal/>
    </border>
    <border>
      <left/>
      <right style="medium">
        <color auto="1"/>
      </right>
      <top style="medium">
        <color auto="1"/>
      </top>
      <bottom style="medium">
        <color rgb="FF000000"/>
      </bottom>
      <diagonal/>
    </border>
    <border>
      <left/>
      <right style="medium">
        <color auto="1"/>
      </right>
      <top/>
      <bottom style="medium">
        <color rgb="FF000000"/>
      </bottom>
      <diagonal/>
    </border>
    <border>
      <left/>
      <right style="medium">
        <color rgb="FF000000"/>
      </right>
      <top style="medium">
        <color rgb="FF000000"/>
      </top>
      <bottom/>
      <diagonal/>
    </border>
    <border>
      <left style="medium">
        <color auto="1"/>
      </left>
      <right style="medium">
        <color rgb="FF000000"/>
      </right>
      <top style="medium">
        <color auto="1"/>
      </top>
      <bottom style="medium">
        <color auto="1"/>
      </bottom>
      <diagonal/>
    </border>
    <border>
      <left/>
      <right style="medium">
        <color rgb="FF000000"/>
      </right>
      <top style="medium">
        <color auto="1"/>
      </top>
      <bottom style="medium">
        <color auto="1"/>
      </bottom>
      <diagonal/>
    </border>
    <border>
      <left style="medium">
        <color rgb="FF000000"/>
      </left>
      <right style="medium">
        <color auto="1"/>
      </right>
      <top style="medium">
        <color auto="1"/>
      </top>
      <bottom/>
      <diagonal/>
    </border>
    <border>
      <left style="medium">
        <color rgb="FF000000"/>
      </left>
      <right style="medium">
        <color auto="1"/>
      </right>
      <top/>
      <bottom style="medium">
        <color rgb="FF000000"/>
      </bottom>
      <diagonal/>
    </border>
    <border>
      <left/>
      <right style="medium">
        <color auto="1"/>
      </right>
      <top style="medium">
        <color rgb="FF000000"/>
      </top>
      <bottom/>
      <diagonal/>
    </border>
    <border>
      <left style="thick">
        <color rgb="FF000000"/>
      </left>
      <right/>
      <top style="thick">
        <color rgb="FF000000"/>
      </top>
      <bottom style="thick">
        <color rgb="FF000000"/>
      </bottom>
      <diagonal/>
    </border>
    <border>
      <left/>
      <right style="thick">
        <color rgb="FF000000"/>
      </right>
      <top style="thick">
        <color rgb="FF000000"/>
      </top>
      <bottom style="thick">
        <color rgb="FF000000"/>
      </bottom>
      <diagonal/>
    </border>
    <border>
      <left/>
      <right style="medium">
        <color rgb="FF000000"/>
      </right>
      <top style="thick">
        <color rgb="FF000000"/>
      </top>
      <bottom style="thick">
        <color rgb="FF000000"/>
      </bottom>
      <diagonal/>
    </border>
    <border>
      <left style="thick">
        <color rgb="FF000000"/>
      </left>
      <right/>
      <top/>
      <bottom style="thick">
        <color rgb="FF000000"/>
      </bottom>
      <diagonal/>
    </border>
    <border>
      <left style="thick">
        <color rgb="FF000000"/>
      </left>
      <right/>
      <top/>
      <bottom/>
      <diagonal/>
    </border>
    <border>
      <left/>
      <right style="thick">
        <color rgb="FF000000"/>
      </right>
      <top/>
      <bottom/>
      <diagonal/>
    </border>
    <border>
      <left/>
      <right style="thick">
        <color rgb="FF000000"/>
      </right>
      <top/>
      <bottom style="thick">
        <color rgb="FF000000"/>
      </bottom>
      <diagonal/>
    </border>
    <border>
      <left/>
      <right style="medium">
        <color rgb="FF000000"/>
      </right>
      <top/>
      <bottom style="thick">
        <color rgb="FF000000"/>
      </bottom>
      <diagonal/>
    </border>
    <border>
      <left style="thick">
        <color rgb="FF000000"/>
      </left>
      <right/>
      <top style="thick">
        <color rgb="FF000000"/>
      </top>
      <bottom/>
      <diagonal/>
    </border>
    <border>
      <left style="thick">
        <color rgb="FF000000"/>
      </left>
      <right style="thick">
        <color rgb="FF000000"/>
      </right>
      <top/>
      <bottom style="thick">
        <color rgb="FF000000"/>
      </bottom>
      <diagonal/>
    </border>
    <border>
      <left style="thick">
        <color rgb="FF000000"/>
      </left>
      <right style="thick">
        <color rgb="FF000000"/>
      </right>
      <top/>
      <bottom/>
      <diagonal/>
    </border>
    <border>
      <left style="medium">
        <color auto="1"/>
      </left>
      <right/>
      <top style="medium">
        <color auto="1"/>
      </top>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bottom/>
      <diagonal/>
    </border>
    <border>
      <left style="medium">
        <color auto="1"/>
      </left>
      <right/>
      <top style="thin">
        <color auto="1"/>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style="medium">
        <color auto="1"/>
      </top>
      <bottom/>
      <diagonal/>
    </border>
    <border>
      <left/>
      <right style="thin">
        <color indexed="8"/>
      </right>
      <top style="medium">
        <color auto="1"/>
      </top>
      <bottom/>
      <diagonal/>
    </border>
    <border>
      <left style="medium">
        <color auto="1"/>
      </left>
      <right/>
      <top style="thin">
        <color indexed="8"/>
      </top>
      <bottom/>
      <diagonal/>
    </border>
    <border>
      <left/>
      <right style="medium">
        <color auto="1"/>
      </right>
      <top style="thin">
        <color indexed="8"/>
      </top>
      <bottom/>
      <diagonal/>
    </border>
    <border>
      <left style="thin">
        <color indexed="8"/>
      </left>
      <right/>
      <top style="medium">
        <color auto="1"/>
      </top>
      <bottom style="medium">
        <color auto="1"/>
      </bottom>
      <diagonal/>
    </border>
    <border>
      <left/>
      <right style="thin">
        <color indexed="8"/>
      </right>
      <top style="medium">
        <color auto="1"/>
      </top>
      <bottom style="medium">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bottom/>
      <diagonal/>
    </border>
    <border>
      <left style="thin">
        <color auto="1"/>
      </left>
      <right/>
      <top style="thin">
        <color auto="1"/>
      </top>
      <bottom/>
      <diagonal/>
    </border>
    <border>
      <left style="medium">
        <color auto="1"/>
      </left>
      <right style="medium">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ck">
        <color rgb="FF000000"/>
      </top>
      <bottom style="medium">
        <color auto="1"/>
      </bottom>
      <diagonal/>
    </border>
    <border>
      <left/>
      <right style="thick">
        <color rgb="FF000000"/>
      </right>
      <top style="thick">
        <color rgb="FF000000"/>
      </top>
      <bottom style="medium">
        <color auto="1"/>
      </bottom>
      <diagonal/>
    </border>
    <border>
      <left/>
      <right style="medium">
        <color rgb="FF000000"/>
      </right>
      <top style="thick">
        <color rgb="FF000000"/>
      </top>
      <bottom style="medium">
        <color auto="1"/>
      </bottom>
      <diagonal/>
    </border>
    <border>
      <left/>
      <right style="medium">
        <color auto="1"/>
      </right>
      <top style="thick">
        <color rgb="FF000000"/>
      </top>
      <bottom style="medium">
        <color auto="1"/>
      </bottom>
      <diagonal/>
    </border>
    <border>
      <left style="thin">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ck">
        <color rgb="FF000000"/>
      </right>
      <top/>
      <bottom style="medium">
        <color auto="1"/>
      </bottom>
      <diagonal/>
    </border>
    <border>
      <left style="medium">
        <color auto="1"/>
      </left>
      <right style="thick">
        <color rgb="FF000000"/>
      </right>
      <top/>
      <bottom style="medium">
        <color auto="1"/>
      </bottom>
      <diagonal/>
    </border>
    <border>
      <left style="medium">
        <color auto="1"/>
      </left>
      <right style="thick">
        <color rgb="FF000000"/>
      </right>
      <top/>
      <bottom/>
      <diagonal/>
    </border>
    <border>
      <left/>
      <right style="medium">
        <color auto="1"/>
      </right>
      <top style="thick">
        <color rgb="FF000000"/>
      </top>
      <bottom style="thick">
        <color rgb="FF000000"/>
      </bottom>
      <diagonal/>
    </border>
    <border>
      <left style="medium">
        <color auto="1"/>
      </left>
      <right style="thick">
        <color rgb="FF000000"/>
      </right>
      <top style="thick">
        <color rgb="FF000000"/>
      </top>
      <bottom style="thick">
        <color rgb="FF000000"/>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s>
  <cellStyleXfs count="1225">
    <xf numFmtId="0" fontId="0" fillId="0" borderId="0"/>
    <xf numFmtId="165" fontId="6" fillId="0" borderId="0" applyFont="0" applyFill="0" applyBorder="0" applyAlignment="0" applyProtection="0"/>
    <xf numFmtId="0" fontId="8" fillId="0" borderId="0"/>
    <xf numFmtId="0" fontId="8" fillId="0" borderId="0"/>
    <xf numFmtId="0" fontId="14" fillId="0" borderId="0" applyNumberFormat="0" applyFill="0" applyBorder="0" applyAlignment="0" applyProtection="0"/>
    <xf numFmtId="0" fontId="15" fillId="0" borderId="0" applyNumberFormat="0" applyFill="0" applyBorder="0" applyAlignment="0" applyProtection="0"/>
    <xf numFmtId="164" fontId="6"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42" fillId="0" borderId="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165" fontId="45"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cellStyleXfs>
  <cellXfs count="1829">
    <xf numFmtId="0" fontId="0" fillId="0" borderId="0" xfId="0"/>
    <xf numFmtId="0" fontId="7" fillId="0" borderId="0" xfId="0" applyFont="1"/>
    <xf numFmtId="0" fontId="9" fillId="0" borderId="0" xfId="2" applyFont="1" applyAlignment="1">
      <alignment horizontal="right"/>
    </xf>
    <xf numFmtId="0" fontId="9" fillId="0" borderId="1" xfId="2" applyFont="1" applyBorder="1"/>
    <xf numFmtId="0" fontId="9" fillId="0" borderId="2" xfId="2" applyFont="1" applyBorder="1"/>
    <xf numFmtId="0" fontId="9" fillId="0" borderId="3" xfId="2" applyFont="1" applyBorder="1"/>
    <xf numFmtId="0" fontId="9" fillId="0" borderId="3" xfId="2" applyFont="1" applyFill="1" applyBorder="1"/>
    <xf numFmtId="0" fontId="9" fillId="0" borderId="4" xfId="2" applyFont="1" applyFill="1" applyBorder="1"/>
    <xf numFmtId="0" fontId="9" fillId="0" borderId="5" xfId="2" applyFont="1" applyBorder="1"/>
    <xf numFmtId="0" fontId="8" fillId="0" borderId="6" xfId="2" applyBorder="1"/>
    <xf numFmtId="0" fontId="8" fillId="0" borderId="7" xfId="2" applyBorder="1"/>
    <xf numFmtId="0" fontId="0" fillId="0" borderId="7" xfId="0" applyBorder="1"/>
    <xf numFmtId="0" fontId="0" fillId="0" borderId="8" xfId="0" applyBorder="1"/>
    <xf numFmtId="0" fontId="9" fillId="0" borderId="9" xfId="2" applyFont="1" applyBorder="1"/>
    <xf numFmtId="0" fontId="8" fillId="0" borderId="10" xfId="2" applyBorder="1"/>
    <xf numFmtId="0" fontId="8" fillId="0" borderId="11" xfId="2" applyBorder="1"/>
    <xf numFmtId="0" fontId="0" fillId="0" borderId="11" xfId="0" applyBorder="1"/>
    <xf numFmtId="0" fontId="0" fillId="0" borderId="12" xfId="0" applyBorder="1"/>
    <xf numFmtId="0" fontId="9" fillId="0" borderId="13" xfId="2" applyFont="1" applyBorder="1"/>
    <xf numFmtId="0" fontId="8" fillId="0" borderId="14" xfId="2" applyFont="1" applyBorder="1" applyAlignment="1">
      <alignment horizontal="right"/>
    </xf>
    <xf numFmtId="0" fontId="8" fillId="0" borderId="15" xfId="2" applyFont="1" applyBorder="1" applyAlignment="1">
      <alignment horizontal="right"/>
    </xf>
    <xf numFmtId="0" fontId="8" fillId="0" borderId="15" xfId="2" applyBorder="1"/>
    <xf numFmtId="0" fontId="0" fillId="0" borderId="15" xfId="0" applyBorder="1"/>
    <xf numFmtId="0" fontId="0" fillId="0" borderId="16" xfId="0" applyBorder="1"/>
    <xf numFmtId="0" fontId="9" fillId="2" borderId="1" xfId="2" applyFont="1" applyFill="1" applyBorder="1"/>
    <xf numFmtId="0" fontId="9" fillId="2" borderId="2" xfId="2" applyFont="1" applyFill="1" applyBorder="1"/>
    <xf numFmtId="0" fontId="9" fillId="2" borderId="3" xfId="2" applyFont="1" applyFill="1" applyBorder="1"/>
    <xf numFmtId="0" fontId="7" fillId="0" borderId="3" xfId="0" applyFont="1" applyBorder="1"/>
    <xf numFmtId="0" fontId="7" fillId="0" borderId="4" xfId="0" applyFont="1" applyBorder="1"/>
    <xf numFmtId="0" fontId="0" fillId="0" borderId="0" xfId="0" applyAlignment="1">
      <alignment horizontal="right"/>
    </xf>
    <xf numFmtId="0" fontId="10" fillId="0" borderId="0" xfId="2" applyFont="1" applyAlignment="1">
      <alignment horizontal="center"/>
    </xf>
    <xf numFmtId="0" fontId="8" fillId="0" borderId="0" xfId="2"/>
    <xf numFmtId="0" fontId="9" fillId="0" borderId="17" xfId="2" applyFont="1" applyBorder="1"/>
    <xf numFmtId="0" fontId="9" fillId="0" borderId="18" xfId="2" applyFont="1" applyBorder="1"/>
    <xf numFmtId="0" fontId="9" fillId="0" borderId="19" xfId="2" applyFont="1" applyBorder="1"/>
    <xf numFmtId="0" fontId="8" fillId="0" borderId="11" xfId="2" applyFont="1" applyBorder="1"/>
    <xf numFmtId="0" fontId="9" fillId="0" borderId="20" xfId="2" applyFont="1" applyBorder="1"/>
    <xf numFmtId="0" fontId="9" fillId="2" borderId="17" xfId="2" applyFont="1" applyFill="1" applyBorder="1"/>
    <xf numFmtId="0" fontId="7" fillId="0" borderId="17" xfId="0" applyFont="1" applyBorder="1"/>
    <xf numFmtId="0" fontId="7" fillId="0" borderId="3" xfId="0" applyFont="1" applyFill="1" applyBorder="1"/>
    <xf numFmtId="0" fontId="7" fillId="0" borderId="21" xfId="0" applyFont="1" applyFill="1" applyBorder="1"/>
    <xf numFmtId="0" fontId="7" fillId="0" borderId="1" xfId="0" applyFont="1" applyFill="1" applyBorder="1"/>
    <xf numFmtId="0" fontId="7" fillId="0" borderId="0" xfId="0" applyFont="1" applyFill="1" applyBorder="1"/>
    <xf numFmtId="0" fontId="0" fillId="0" borderId="18" xfId="0" applyFont="1" applyBorder="1" applyAlignment="1">
      <alignment horizontal="left"/>
    </xf>
    <xf numFmtId="167" fontId="0" fillId="0" borderId="7" xfId="1" applyNumberFormat="1" applyFont="1" applyBorder="1"/>
    <xf numFmtId="167" fontId="0" fillId="0" borderId="22" xfId="1" applyNumberFormat="1" applyFont="1" applyBorder="1"/>
    <xf numFmtId="167" fontId="7" fillId="0" borderId="5" xfId="0" applyNumberFormat="1" applyFont="1" applyBorder="1"/>
    <xf numFmtId="167" fontId="7" fillId="0" borderId="0" xfId="0" applyNumberFormat="1" applyFont="1" applyBorder="1"/>
    <xf numFmtId="0" fontId="0" fillId="0" borderId="19" xfId="0" applyFont="1" applyBorder="1" applyAlignment="1">
      <alignment horizontal="left"/>
    </xf>
    <xf numFmtId="167" fontId="0" fillId="0" borderId="11" xfId="1" applyNumberFormat="1" applyFont="1" applyBorder="1"/>
    <xf numFmtId="167" fontId="0" fillId="0" borderId="23" xfId="1" applyNumberFormat="1" applyFont="1" applyBorder="1"/>
    <xf numFmtId="167" fontId="7" fillId="0" borderId="9" xfId="0" applyNumberFormat="1" applyFont="1" applyBorder="1"/>
    <xf numFmtId="43" fontId="0" fillId="0" borderId="11" xfId="0" applyNumberFormat="1" applyBorder="1"/>
    <xf numFmtId="167" fontId="11" fillId="0" borderId="11" xfId="1" applyNumberFormat="1" applyFont="1" applyFill="1" applyBorder="1"/>
    <xf numFmtId="165" fontId="11" fillId="0" borderId="11" xfId="1" applyNumberFormat="1" applyFont="1" applyFill="1" applyBorder="1"/>
    <xf numFmtId="0" fontId="0" fillId="0" borderId="19" xfId="0" applyBorder="1" applyAlignment="1">
      <alignment horizontal="left"/>
    </xf>
    <xf numFmtId="0" fontId="0" fillId="0" borderId="19" xfId="0" applyFill="1" applyBorder="1" applyAlignment="1">
      <alignment horizontal="left"/>
    </xf>
    <xf numFmtId="167" fontId="0" fillId="0" borderId="11" xfId="1" applyNumberFormat="1" applyFont="1" applyFill="1" applyBorder="1"/>
    <xf numFmtId="0" fontId="0" fillId="0" borderId="11" xfId="0" applyFill="1" applyBorder="1"/>
    <xf numFmtId="167" fontId="0" fillId="0" borderId="23" xfId="1" applyNumberFormat="1" applyFont="1" applyFill="1" applyBorder="1"/>
    <xf numFmtId="0" fontId="7" fillId="0" borderId="23" xfId="0" applyFont="1" applyBorder="1" applyAlignment="1">
      <alignment horizontal="left"/>
    </xf>
    <xf numFmtId="0" fontId="7" fillId="0" borderId="10" xfId="0" applyFont="1" applyBorder="1" applyAlignment="1">
      <alignment horizontal="center"/>
    </xf>
    <xf numFmtId="0" fontId="7" fillId="0" borderId="11" xfId="0" applyFont="1" applyBorder="1" applyAlignment="1">
      <alignment horizontal="center"/>
    </xf>
    <xf numFmtId="0" fontId="7" fillId="0" borderId="23" xfId="0" applyFont="1" applyBorder="1" applyAlignment="1">
      <alignment horizontal="center"/>
    </xf>
    <xf numFmtId="0" fontId="7" fillId="0" borderId="24" xfId="0" applyFont="1" applyBorder="1" applyAlignment="1">
      <alignment horizontal="center"/>
    </xf>
    <xf numFmtId="0" fontId="7" fillId="0" borderId="15" xfId="0" applyFont="1" applyBorder="1"/>
    <xf numFmtId="0" fontId="7" fillId="0" borderId="11" xfId="0" applyFont="1" applyBorder="1"/>
    <xf numFmtId="17" fontId="7" fillId="0" borderId="11" xfId="0" applyNumberFormat="1" applyFont="1" applyBorder="1" applyAlignment="1">
      <alignment horizontal="center"/>
    </xf>
    <xf numFmtId="0" fontId="7" fillId="0" borderId="7" xfId="0" applyFont="1" applyBorder="1"/>
    <xf numFmtId="0" fontId="0" fillId="0" borderId="15" xfId="0" applyFont="1" applyBorder="1"/>
    <xf numFmtId="0" fontId="0" fillId="0" borderId="10" xfId="0" applyBorder="1"/>
    <xf numFmtId="0" fontId="0" fillId="0" borderId="7" xfId="0" applyFont="1" applyBorder="1"/>
    <xf numFmtId="0" fontId="0" fillId="0" borderId="11" xfId="0" applyFont="1" applyBorder="1"/>
    <xf numFmtId="0" fontId="0" fillId="0" borderId="11" xfId="0" applyFont="1" applyFill="1" applyBorder="1"/>
    <xf numFmtId="0" fontId="7" fillId="0" borderId="11" xfId="0" applyFont="1" applyBorder="1" applyAlignment="1">
      <alignment horizontal="right"/>
    </xf>
    <xf numFmtId="0" fontId="7" fillId="0" borderId="11" xfId="0" applyFont="1" applyFill="1" applyBorder="1" applyAlignment="1">
      <alignment horizontal="right"/>
    </xf>
    <xf numFmtId="0" fontId="0" fillId="0" borderId="25" xfId="0" applyFont="1" applyFill="1" applyBorder="1"/>
    <xf numFmtId="0" fontId="12" fillId="0" borderId="0" xfId="0" applyFont="1"/>
    <xf numFmtId="0" fontId="12" fillId="0" borderId="11" xfId="0" applyFont="1" applyBorder="1"/>
    <xf numFmtId="0" fontId="12" fillId="0" borderId="11" xfId="0" applyFont="1" applyFill="1" applyBorder="1"/>
    <xf numFmtId="0" fontId="13" fillId="0" borderId="11" xfId="0" applyFont="1" applyBorder="1"/>
    <xf numFmtId="168" fontId="0" fillId="0" borderId="11" xfId="0" applyNumberFormat="1" applyBorder="1"/>
    <xf numFmtId="168" fontId="0" fillId="0" borderId="0" xfId="0" applyNumberFormat="1" applyBorder="1"/>
    <xf numFmtId="168" fontId="0" fillId="0" borderId="0" xfId="0" applyNumberFormat="1"/>
    <xf numFmtId="171" fontId="0" fillId="0" borderId="0" xfId="0" applyNumberFormat="1"/>
    <xf numFmtId="171" fontId="0" fillId="0" borderId="0" xfId="0" applyNumberFormat="1" applyBorder="1" applyAlignment="1">
      <alignment horizontal="right"/>
    </xf>
    <xf numFmtId="168" fontId="0" fillId="0" borderId="11" xfId="0" applyNumberFormat="1" applyBorder="1" applyAlignment="1">
      <alignment horizontal="right"/>
    </xf>
    <xf numFmtId="168" fontId="0" fillId="0" borderId="0" xfId="0" applyNumberFormat="1" applyBorder="1" applyAlignment="1">
      <alignment horizontal="right"/>
    </xf>
    <xf numFmtId="0" fontId="0" fillId="0" borderId="0" xfId="0" applyFill="1" applyBorder="1" applyAlignment="1">
      <alignment horizontal="left"/>
    </xf>
    <xf numFmtId="0" fontId="9" fillId="0" borderId="2" xfId="2" applyFont="1" applyFill="1" applyBorder="1"/>
    <xf numFmtId="0" fontId="9" fillId="0" borderId="4" xfId="2" applyFont="1" applyBorder="1"/>
    <xf numFmtId="0" fontId="0" fillId="0" borderId="6" xfId="0" applyBorder="1"/>
    <xf numFmtId="0" fontId="8" fillId="0" borderId="8" xfId="2" applyBorder="1"/>
    <xf numFmtId="0" fontId="8" fillId="0" borderId="12" xfId="2" applyBorder="1"/>
    <xf numFmtId="0" fontId="0" fillId="0" borderId="14" xfId="0" applyBorder="1"/>
    <xf numFmtId="0" fontId="8" fillId="0" borderId="16" xfId="2" applyFont="1" applyBorder="1" applyAlignment="1">
      <alignment horizontal="right"/>
    </xf>
    <xf numFmtId="0" fontId="7" fillId="0" borderId="2" xfId="0" applyFont="1" applyBorder="1"/>
    <xf numFmtId="0" fontId="9" fillId="2" borderId="4" xfId="2" applyFont="1" applyFill="1" applyBorder="1"/>
    <xf numFmtId="0" fontId="8" fillId="0" borderId="16" xfId="2" applyBorder="1"/>
    <xf numFmtId="172" fontId="0" fillId="0" borderId="0" xfId="0" applyNumberFormat="1"/>
    <xf numFmtId="0" fontId="9" fillId="0" borderId="27" xfId="2" applyFont="1" applyFill="1" applyBorder="1"/>
    <xf numFmtId="3" fontId="0" fillId="0" borderId="0" xfId="0" applyNumberFormat="1"/>
    <xf numFmtId="168" fontId="12" fillId="0" borderId="11" xfId="0" applyNumberFormat="1" applyFont="1" applyBorder="1"/>
    <xf numFmtId="168" fontId="13" fillId="0" borderId="11" xfId="0" applyNumberFormat="1" applyFont="1" applyBorder="1"/>
    <xf numFmtId="0" fontId="5" fillId="0" borderId="0" xfId="0" applyFont="1"/>
    <xf numFmtId="0" fontId="13" fillId="0" borderId="0" xfId="0" applyFont="1"/>
    <xf numFmtId="0" fontId="5" fillId="3" borderId="0" xfId="0" applyFont="1" applyFill="1"/>
    <xf numFmtId="0" fontId="5" fillId="0" borderId="0" xfId="0" applyFont="1" applyAlignment="1">
      <alignment horizontal="center"/>
    </xf>
    <xf numFmtId="0" fontId="13" fillId="0" borderId="0" xfId="0" applyFont="1" applyAlignment="1">
      <alignment horizontal="center"/>
    </xf>
    <xf numFmtId="0" fontId="16" fillId="0" borderId="0" xfId="0" applyFont="1" applyAlignment="1">
      <alignment horizontal="center"/>
    </xf>
    <xf numFmtId="0" fontId="13" fillId="0" borderId="0" xfId="0" applyFont="1" applyAlignment="1">
      <alignment horizontal="left"/>
    </xf>
    <xf numFmtId="3" fontId="5" fillId="0" borderId="0" xfId="0" applyNumberFormat="1" applyFont="1" applyAlignment="1">
      <alignment horizontal="center"/>
    </xf>
    <xf numFmtId="3" fontId="13" fillId="0" borderId="0" xfId="0" applyNumberFormat="1" applyFont="1" applyAlignment="1">
      <alignment horizontal="center"/>
    </xf>
    <xf numFmtId="3" fontId="16" fillId="0" borderId="0" xfId="0" applyNumberFormat="1" applyFont="1" applyAlignment="1">
      <alignment horizontal="center"/>
    </xf>
    <xf numFmtId="3" fontId="5" fillId="0" borderId="0" xfId="0" applyNumberFormat="1" applyFont="1"/>
    <xf numFmtId="3" fontId="13" fillId="0" borderId="0" xfId="0" applyNumberFormat="1" applyFont="1"/>
    <xf numFmtId="14" fontId="17" fillId="0" borderId="0" xfId="0" applyNumberFormat="1" applyFont="1" applyAlignment="1">
      <alignment wrapText="1"/>
    </xf>
    <xf numFmtId="0" fontId="17" fillId="0" borderId="0" xfId="0" applyFont="1" applyAlignment="1">
      <alignment wrapText="1"/>
    </xf>
    <xf numFmtId="164" fontId="17" fillId="0" borderId="0" xfId="6" applyFont="1" applyAlignment="1">
      <alignment wrapText="1"/>
    </xf>
    <xf numFmtId="3" fontId="17" fillId="0" borderId="0" xfId="0" applyNumberFormat="1" applyFont="1" applyAlignment="1">
      <alignment wrapText="1"/>
    </xf>
    <xf numFmtId="4" fontId="0" fillId="0" borderId="0" xfId="0" applyNumberFormat="1"/>
    <xf numFmtId="0" fontId="18" fillId="0" borderId="0" xfId="0" applyFont="1"/>
    <xf numFmtId="2" fontId="17" fillId="0" borderId="0" xfId="0" applyNumberFormat="1" applyFont="1" applyAlignment="1">
      <alignment wrapText="1"/>
    </xf>
    <xf numFmtId="0" fontId="0" fillId="0" borderId="0" xfId="0" quotePrefix="1"/>
    <xf numFmtId="167" fontId="0" fillId="0" borderId="0" xfId="0" applyNumberFormat="1"/>
    <xf numFmtId="173" fontId="0" fillId="0" borderId="0" xfId="0" applyNumberFormat="1"/>
    <xf numFmtId="0" fontId="19" fillId="0" borderId="0" xfId="0" applyFont="1"/>
    <xf numFmtId="0" fontId="4" fillId="0" borderId="0" xfId="0" applyFont="1"/>
    <xf numFmtId="0" fontId="20" fillId="0" borderId="0" xfId="0" applyFont="1"/>
    <xf numFmtId="0" fontId="21" fillId="0" borderId="0" xfId="0" applyFont="1"/>
    <xf numFmtId="0" fontId="0" fillId="0" borderId="0" xfId="0" applyFont="1"/>
    <xf numFmtId="49" fontId="0" fillId="0" borderId="0" xfId="0" applyNumberFormat="1" applyFont="1"/>
    <xf numFmtId="0" fontId="22" fillId="0" borderId="0" xfId="0" applyFont="1"/>
    <xf numFmtId="0" fontId="0" fillId="3" borderId="0" xfId="0" applyFill="1"/>
    <xf numFmtId="0" fontId="23" fillId="5" borderId="74" xfId="0" applyFont="1" applyFill="1" applyBorder="1" applyAlignment="1">
      <alignment horizontal="center" vertical="center" wrapText="1"/>
    </xf>
    <xf numFmtId="0" fontId="23" fillId="5" borderId="73" xfId="0" applyFont="1" applyFill="1" applyBorder="1" applyAlignment="1">
      <alignment horizontal="center" vertical="center" wrapText="1"/>
    </xf>
    <xf numFmtId="0" fontId="23" fillId="5" borderId="77" xfId="0" applyFont="1" applyFill="1" applyBorder="1" applyAlignment="1">
      <alignment vertical="center" wrapText="1"/>
    </xf>
    <xf numFmtId="0" fontId="23" fillId="5" borderId="39" xfId="0" applyFont="1" applyFill="1" applyBorder="1" applyAlignment="1">
      <alignment horizontal="right" vertical="center" wrapText="1"/>
    </xf>
    <xf numFmtId="0" fontId="23" fillId="5" borderId="77" xfId="0" applyFont="1" applyFill="1" applyBorder="1" applyAlignment="1">
      <alignment horizontal="right" vertical="center" wrapText="1"/>
    </xf>
    <xf numFmtId="0" fontId="23" fillId="5" borderId="77" xfId="0" applyFont="1" applyFill="1" applyBorder="1" applyAlignment="1">
      <alignment vertical="top" wrapText="1"/>
    </xf>
    <xf numFmtId="0" fontId="23" fillId="5" borderId="79" xfId="0" applyFont="1" applyFill="1" applyBorder="1" applyAlignment="1">
      <alignment horizontal="right" vertical="center" wrapText="1"/>
    </xf>
    <xf numFmtId="0" fontId="23" fillId="5" borderId="78" xfId="0" applyFont="1" applyFill="1" applyBorder="1" applyAlignment="1">
      <alignment horizontal="right" vertical="center" wrapText="1"/>
    </xf>
    <xf numFmtId="0" fontId="24" fillId="0" borderId="0" xfId="0" applyFont="1" applyAlignment="1">
      <alignment vertical="center"/>
    </xf>
    <xf numFmtId="0" fontId="26" fillId="0" borderId="0" xfId="0" applyFont="1" applyAlignment="1">
      <alignment vertical="center"/>
    </xf>
    <xf numFmtId="0" fontId="24" fillId="0" borderId="0" xfId="0" applyFont="1" applyAlignment="1">
      <alignment horizontal="left" vertical="center" indent="3"/>
    </xf>
    <xf numFmtId="0" fontId="27" fillId="0" borderId="0" xfId="0" applyFont="1" applyAlignment="1">
      <alignment vertical="center"/>
    </xf>
    <xf numFmtId="0" fontId="28" fillId="0" borderId="0" xfId="0" applyFont="1" applyFill="1"/>
    <xf numFmtId="0" fontId="28" fillId="6" borderId="0" xfId="0" applyFont="1" applyFill="1"/>
    <xf numFmtId="0" fontId="29" fillId="0" borderId="0" xfId="0" applyFont="1" applyFill="1"/>
    <xf numFmtId="0" fontId="29" fillId="0" borderId="57" xfId="0" applyFont="1" applyFill="1" applyBorder="1"/>
    <xf numFmtId="0" fontId="9" fillId="0" borderId="57" xfId="0" applyFont="1" applyBorder="1"/>
    <xf numFmtId="0" fontId="9" fillId="0" borderId="84" xfId="0" applyFont="1" applyBorder="1"/>
    <xf numFmtId="3" fontId="8" fillId="0" borderId="27" xfId="0" applyNumberFormat="1" applyFont="1" applyBorder="1"/>
    <xf numFmtId="3" fontId="8" fillId="0" borderId="0" xfId="0" applyNumberFormat="1" applyFont="1" applyBorder="1"/>
    <xf numFmtId="0" fontId="29" fillId="0" borderId="84" xfId="0" applyFont="1" applyFill="1" applyBorder="1"/>
    <xf numFmtId="0" fontId="30" fillId="0" borderId="58" xfId="0" applyFont="1" applyFill="1" applyBorder="1"/>
    <xf numFmtId="0" fontId="30" fillId="0" borderId="59" xfId="0" applyFont="1" applyFill="1" applyBorder="1"/>
    <xf numFmtId="0" fontId="28" fillId="6" borderId="0" xfId="0" applyFont="1" applyFill="1" applyBorder="1"/>
    <xf numFmtId="0" fontId="9" fillId="0" borderId="83" xfId="0" applyFont="1" applyBorder="1"/>
    <xf numFmtId="0" fontId="8" fillId="0" borderId="27" xfId="0" applyFont="1" applyBorder="1"/>
    <xf numFmtId="0" fontId="8" fillId="0" borderId="40" xfId="0" applyFont="1" applyBorder="1"/>
    <xf numFmtId="0" fontId="8" fillId="0" borderId="0" xfId="0" applyFont="1" applyBorder="1"/>
    <xf numFmtId="0" fontId="8" fillId="0" borderId="37" xfId="0" applyFont="1" applyBorder="1"/>
    <xf numFmtId="0" fontId="9" fillId="0" borderId="27" xfId="0" applyFont="1" applyBorder="1"/>
    <xf numFmtId="0" fontId="9" fillId="0" borderId="0" xfId="0" applyFont="1" applyBorder="1" applyAlignment="1"/>
    <xf numFmtId="0" fontId="8" fillId="0" borderId="27" xfId="0" applyFont="1" applyFill="1" applyBorder="1"/>
    <xf numFmtId="0" fontId="0" fillId="0" borderId="34" xfId="0" applyBorder="1"/>
    <xf numFmtId="0" fontId="9" fillId="0" borderId="87" xfId="0" applyFont="1" applyBorder="1"/>
    <xf numFmtId="0" fontId="28" fillId="0" borderId="0" xfId="0" applyFont="1"/>
    <xf numFmtId="0" fontId="9" fillId="0" borderId="89" xfId="0" applyFont="1" applyBorder="1"/>
    <xf numFmtId="0" fontId="32" fillId="0" borderId="0" xfId="0" applyFont="1" applyBorder="1"/>
    <xf numFmtId="0" fontId="30" fillId="0" borderId="0" xfId="0" applyFont="1" applyFill="1" applyBorder="1"/>
    <xf numFmtId="0" fontId="33" fillId="0" borderId="0" xfId="0" applyFont="1"/>
    <xf numFmtId="3" fontId="28" fillId="0" borderId="0" xfId="0" applyNumberFormat="1" applyFont="1" applyFill="1"/>
    <xf numFmtId="3" fontId="8" fillId="0" borderId="0" xfId="0" applyNumberFormat="1" applyFont="1"/>
    <xf numFmtId="0" fontId="31" fillId="6" borderId="0" xfId="0" applyFont="1" applyFill="1"/>
    <xf numFmtId="0" fontId="30" fillId="0" borderId="0" xfId="0" applyFont="1" applyFill="1"/>
    <xf numFmtId="0" fontId="33" fillId="0" borderId="58" xfId="0" applyFont="1" applyBorder="1"/>
    <xf numFmtId="0" fontId="33" fillId="0" borderId="59" xfId="0" applyFont="1" applyBorder="1"/>
    <xf numFmtId="0" fontId="33" fillId="0" borderId="0" xfId="0" applyFont="1" applyBorder="1"/>
    <xf numFmtId="0" fontId="33" fillId="0" borderId="83" xfId="0" applyFont="1" applyBorder="1"/>
    <xf numFmtId="0" fontId="33" fillId="0" borderId="54" xfId="0" applyFont="1" applyBorder="1"/>
    <xf numFmtId="0" fontId="33" fillId="0" borderId="52" xfId="0" applyFont="1" applyBorder="1"/>
    <xf numFmtId="0" fontId="33" fillId="0" borderId="27" xfId="0" applyFont="1" applyBorder="1"/>
    <xf numFmtId="3" fontId="8" fillId="0" borderId="40" xfId="0" applyNumberFormat="1" applyFont="1" applyBorder="1"/>
    <xf numFmtId="0" fontId="33" fillId="0" borderId="26" xfId="0" applyFont="1" applyBorder="1" applyAlignment="1">
      <alignment horizontal="right"/>
    </xf>
    <xf numFmtId="0" fontId="33" fillId="0" borderId="85" xfId="0" applyFont="1" applyBorder="1" applyAlignment="1">
      <alignment horizontal="right"/>
    </xf>
    <xf numFmtId="0" fontId="8" fillId="0" borderId="0" xfId="0" applyFont="1" applyBorder="1" applyAlignment="1">
      <alignment horizontal="right"/>
    </xf>
    <xf numFmtId="0" fontId="8" fillId="0" borderId="40" xfId="0" applyFont="1" applyBorder="1" applyAlignment="1">
      <alignment horizontal="right"/>
    </xf>
    <xf numFmtId="0" fontId="8" fillId="0" borderId="34" xfId="0" applyFont="1" applyBorder="1"/>
    <xf numFmtId="0" fontId="8" fillId="0" borderId="36" xfId="0" applyFont="1" applyBorder="1"/>
    <xf numFmtId="0" fontId="8" fillId="0" borderId="26" xfId="0" applyFont="1" applyFill="1" applyBorder="1"/>
    <xf numFmtId="0" fontId="8" fillId="0" borderId="26" xfId="0" applyFont="1" applyBorder="1"/>
    <xf numFmtId="0" fontId="8" fillId="0" borderId="85" xfId="0" applyFont="1" applyBorder="1"/>
    <xf numFmtId="4" fontId="8" fillId="0" borderId="0" xfId="0" applyNumberFormat="1" applyFont="1" applyBorder="1"/>
    <xf numFmtId="2" fontId="8" fillId="0" borderId="40" xfId="0" applyNumberFormat="1" applyFont="1" applyBorder="1"/>
    <xf numFmtId="174" fontId="8" fillId="0" borderId="40" xfId="0" applyNumberFormat="1" applyFont="1" applyBorder="1"/>
    <xf numFmtId="0" fontId="8" fillId="0" borderId="37" xfId="0" applyFont="1" applyFill="1" applyBorder="1"/>
    <xf numFmtId="0" fontId="33" fillId="0" borderId="34" xfId="0" applyFont="1" applyBorder="1"/>
    <xf numFmtId="0" fontId="33" fillId="0" borderId="36" xfId="0" applyFont="1" applyBorder="1"/>
    <xf numFmtId="0" fontId="8" fillId="0" borderId="57" xfId="0" applyFont="1" applyFill="1" applyBorder="1"/>
    <xf numFmtId="0" fontId="33" fillId="0" borderId="57" xfId="0" applyFont="1" applyBorder="1"/>
    <xf numFmtId="0" fontId="34" fillId="0" borderId="0" xfId="0" applyFont="1" applyBorder="1"/>
    <xf numFmtId="0" fontId="34" fillId="0" borderId="0" xfId="0" applyFont="1"/>
    <xf numFmtId="0" fontId="8" fillId="0" borderId="0" xfId="0" applyFont="1"/>
    <xf numFmtId="10" fontId="9" fillId="0" borderId="59" xfId="0" applyNumberFormat="1" applyFont="1" applyBorder="1"/>
    <xf numFmtId="0" fontId="8" fillId="0" borderId="0" xfId="0" applyFont="1" applyAlignment="1">
      <alignment vertical="top" wrapText="1"/>
    </xf>
    <xf numFmtId="0" fontId="8" fillId="0" borderId="0" xfId="0" applyFont="1" applyFill="1" applyBorder="1" applyAlignment="1">
      <alignment horizontal="right"/>
    </xf>
    <xf numFmtId="0" fontId="33" fillId="0" borderId="0" xfId="0" applyFont="1" applyFill="1" applyBorder="1"/>
    <xf numFmtId="0" fontId="28" fillId="6" borderId="0" xfId="0" applyFont="1" applyFill="1" applyBorder="1" applyAlignment="1">
      <alignment horizontal="right"/>
    </xf>
    <xf numFmtId="0" fontId="8" fillId="0" borderId="88" xfId="0" applyFont="1" applyFill="1" applyBorder="1"/>
    <xf numFmtId="0" fontId="8" fillId="0" borderId="84" xfId="0" applyFont="1" applyBorder="1"/>
    <xf numFmtId="0" fontId="8" fillId="0" borderId="57" xfId="0" applyFont="1" applyBorder="1"/>
    <xf numFmtId="0" fontId="8" fillId="0" borderId="0" xfId="0" applyFont="1" applyFill="1" applyBorder="1"/>
    <xf numFmtId="0" fontId="8" fillId="0" borderId="54" xfId="0" applyFont="1" applyFill="1" applyBorder="1" applyAlignment="1">
      <alignment horizontal="right"/>
    </xf>
    <xf numFmtId="0" fontId="8" fillId="0" borderId="52" xfId="0" applyFont="1" applyFill="1" applyBorder="1" applyAlignment="1">
      <alignment horizontal="right"/>
    </xf>
    <xf numFmtId="3" fontId="8" fillId="0" borderId="0" xfId="0" applyNumberFormat="1" applyFont="1" applyFill="1" applyBorder="1" applyAlignment="1">
      <alignment horizontal="right"/>
    </xf>
    <xf numFmtId="0" fontId="8" fillId="0" borderId="40" xfId="0" applyFont="1" applyFill="1" applyBorder="1" applyAlignment="1">
      <alignment horizontal="right"/>
    </xf>
    <xf numFmtId="3" fontId="8" fillId="0" borderId="24" xfId="0" applyNumberFormat="1" applyFont="1" applyFill="1" applyBorder="1" applyAlignment="1">
      <alignment horizontal="right"/>
    </xf>
    <xf numFmtId="0" fontId="8" fillId="0" borderId="86" xfId="0" applyFont="1" applyFill="1" applyBorder="1" applyAlignment="1">
      <alignment horizontal="right"/>
    </xf>
    <xf numFmtId="0" fontId="8" fillId="7" borderId="0" xfId="0" applyFont="1" applyFill="1" applyBorder="1"/>
    <xf numFmtId="0" fontId="33" fillId="0" borderId="40" xfId="0" applyFont="1" applyBorder="1"/>
    <xf numFmtId="0" fontId="0" fillId="0" borderId="34" xfId="0" quotePrefix="1" applyBorder="1" applyAlignment="1">
      <alignment horizontal="right"/>
    </xf>
    <xf numFmtId="174" fontId="8" fillId="0" borderId="0" xfId="0" applyNumberFormat="1" applyFont="1" applyBorder="1"/>
    <xf numFmtId="174" fontId="33" fillId="0" borderId="0" xfId="0" applyNumberFormat="1" applyFont="1" applyBorder="1" applyAlignment="1">
      <alignment wrapText="1"/>
    </xf>
    <xf numFmtId="3" fontId="33" fillId="0" borderId="0" xfId="0" applyNumberFormat="1" applyFont="1" applyBorder="1"/>
    <xf numFmtId="0" fontId="36" fillId="0" borderId="57" xfId="0" applyFont="1" applyBorder="1"/>
    <xf numFmtId="0" fontId="36" fillId="0" borderId="58" xfId="0" applyFont="1" applyBorder="1"/>
    <xf numFmtId="0" fontId="36" fillId="0" borderId="59" xfId="0" applyFont="1" applyBorder="1"/>
    <xf numFmtId="0" fontId="33" fillId="0" borderId="54" xfId="0" applyFont="1" applyBorder="1" applyAlignment="1">
      <alignment horizontal="right" wrapText="1"/>
    </xf>
    <xf numFmtId="0" fontId="33" fillId="0" borderId="52" xfId="0" applyFont="1" applyBorder="1" applyAlignment="1">
      <alignment horizontal="right" wrapText="1"/>
    </xf>
    <xf numFmtId="0" fontId="33" fillId="10" borderId="0" xfId="0" applyFont="1" applyFill="1" applyBorder="1"/>
    <xf numFmtId="174" fontId="33" fillId="0" borderId="0" xfId="0" applyNumberFormat="1" applyFont="1" applyBorder="1"/>
    <xf numFmtId="3" fontId="33" fillId="0" borderId="40" xfId="0" applyNumberFormat="1" applyFont="1" applyBorder="1"/>
    <xf numFmtId="3" fontId="33" fillId="0" borderId="40" xfId="0" applyNumberFormat="1" applyFont="1" applyBorder="1" applyAlignment="1">
      <alignment wrapText="1"/>
    </xf>
    <xf numFmtId="0" fontId="33" fillId="0" borderId="37" xfId="0" applyFont="1" applyBorder="1"/>
    <xf numFmtId="2" fontId="33" fillId="0" borderId="34" xfId="0" applyNumberFormat="1" applyFont="1" applyBorder="1" applyAlignment="1">
      <alignment wrapText="1"/>
    </xf>
    <xf numFmtId="174" fontId="33" fillId="0" borderId="34" xfId="0" applyNumberFormat="1" applyFont="1" applyBorder="1" applyAlignment="1">
      <alignment wrapText="1"/>
    </xf>
    <xf numFmtId="3" fontId="33" fillId="0" borderId="36" xfId="0" applyNumberFormat="1" applyFont="1" applyBorder="1" applyAlignment="1">
      <alignment wrapText="1"/>
    </xf>
    <xf numFmtId="3" fontId="33" fillId="11" borderId="34" xfId="0" applyNumberFormat="1" applyFont="1" applyFill="1" applyBorder="1" applyAlignment="1">
      <alignment wrapText="1"/>
    </xf>
    <xf numFmtId="0" fontId="33" fillId="11" borderId="34" xfId="0" applyFont="1" applyFill="1" applyBorder="1"/>
    <xf numFmtId="174" fontId="8" fillId="11" borderId="40" xfId="0" applyNumberFormat="1" applyFont="1" applyFill="1" applyBorder="1"/>
    <xf numFmtId="3" fontId="8" fillId="11" borderId="0" xfId="0" applyNumberFormat="1" applyFont="1" applyFill="1" applyBorder="1"/>
    <xf numFmtId="0" fontId="8" fillId="11" borderId="34" xfId="0" applyFont="1" applyFill="1" applyBorder="1"/>
    <xf numFmtId="0" fontId="0" fillId="12" borderId="0" xfId="0" applyFill="1"/>
    <xf numFmtId="3" fontId="0" fillId="12" borderId="0" xfId="0" applyNumberFormat="1" applyFill="1"/>
    <xf numFmtId="9" fontId="0" fillId="0" borderId="0" xfId="0" applyNumberFormat="1"/>
    <xf numFmtId="0" fontId="13" fillId="0" borderId="0" xfId="0" applyFont="1" applyAlignment="1">
      <alignment horizontal="right"/>
    </xf>
    <xf numFmtId="10" fontId="0" fillId="0" borderId="0" xfId="0" applyNumberFormat="1"/>
    <xf numFmtId="0" fontId="0" fillId="0" borderId="0" xfId="0" applyBorder="1"/>
    <xf numFmtId="0" fontId="0" fillId="0" borderId="0" xfId="0" applyFill="1" applyBorder="1"/>
    <xf numFmtId="0" fontId="35" fillId="0" borderId="57" xfId="0" applyFont="1" applyBorder="1"/>
    <xf numFmtId="0" fontId="0" fillId="0" borderId="58" xfId="0" applyBorder="1"/>
    <xf numFmtId="0" fontId="0" fillId="0" borderId="59" xfId="0" applyBorder="1"/>
    <xf numFmtId="0" fontId="38" fillId="0" borderId="0" xfId="0" applyFont="1" applyFill="1" applyBorder="1"/>
    <xf numFmtId="0" fontId="0" fillId="0" borderId="54" xfId="0" applyBorder="1"/>
    <xf numFmtId="0" fontId="0" fillId="0" borderId="52" xfId="0" applyBorder="1"/>
    <xf numFmtId="0" fontId="0" fillId="0" borderId="27" xfId="0" applyFill="1" applyBorder="1"/>
    <xf numFmtId="0" fontId="0" fillId="0" borderId="40" xfId="0" applyBorder="1"/>
    <xf numFmtId="0" fontId="0" fillId="0" borderId="37" xfId="0" applyFill="1" applyBorder="1"/>
    <xf numFmtId="0" fontId="0" fillId="0" borderId="36" xfId="0" applyBorder="1"/>
    <xf numFmtId="0" fontId="38" fillId="0" borderId="0" xfId="0" applyFont="1" applyBorder="1" applyAlignment="1">
      <alignment horizontal="right" vertical="top" wrapText="1"/>
    </xf>
    <xf numFmtId="0" fontId="0" fillId="0" borderId="27" xfId="0" applyBorder="1"/>
    <xf numFmtId="0" fontId="0" fillId="0" borderId="37" xfId="0" applyBorder="1"/>
    <xf numFmtId="10" fontId="39" fillId="0" borderId="0" xfId="0" applyNumberFormat="1" applyFont="1" applyFill="1" applyBorder="1" applyAlignment="1">
      <alignment horizontal="right" vertical="top" wrapText="1"/>
    </xf>
    <xf numFmtId="0" fontId="11" fillId="0" borderId="0" xfId="0" applyFont="1" applyBorder="1" applyAlignment="1">
      <alignment horizontal="right" vertical="top" wrapText="1"/>
    </xf>
    <xf numFmtId="0" fontId="40" fillId="0" borderId="0" xfId="0" applyFont="1"/>
    <xf numFmtId="175" fontId="11" fillId="0" borderId="0" xfId="0" applyNumberFormat="1" applyFont="1" applyFill="1" applyBorder="1" applyAlignment="1">
      <alignment horizontal="right" vertical="top" wrapText="1"/>
    </xf>
    <xf numFmtId="175" fontId="0" fillId="0" borderId="0" xfId="0" applyNumberFormat="1" applyFont="1" applyFill="1" applyBorder="1" applyAlignment="1">
      <alignment horizontal="right"/>
    </xf>
    <xf numFmtId="175" fontId="11" fillId="0" borderId="0" xfId="0" applyNumberFormat="1" applyFont="1" applyFill="1" applyBorder="1" applyAlignment="1">
      <alignment horizontal="right"/>
    </xf>
    <xf numFmtId="175" fontId="0" fillId="0" borderId="0" xfId="0" applyNumberFormat="1" applyFont="1" applyFill="1" applyBorder="1" applyAlignment="1">
      <alignment horizontal="right" vertical="top" wrapText="1"/>
    </xf>
    <xf numFmtId="172" fontId="0" fillId="0" borderId="0" xfId="0" applyNumberFormat="1" applyFill="1" applyBorder="1"/>
    <xf numFmtId="175" fontId="0" fillId="0" borderId="0" xfId="0" applyNumberFormat="1" applyFont="1" applyBorder="1" applyAlignment="1">
      <alignment horizontal="right"/>
    </xf>
    <xf numFmtId="172" fontId="0" fillId="0" borderId="40" xfId="0" applyNumberFormat="1" applyFill="1" applyBorder="1"/>
    <xf numFmtId="175" fontId="11" fillId="0" borderId="34" xfId="0" applyNumberFormat="1" applyFont="1" applyBorder="1" applyAlignment="1">
      <alignment horizontal="right" vertical="top" wrapText="1"/>
    </xf>
    <xf numFmtId="172" fontId="0" fillId="0" borderId="34" xfId="0" applyNumberFormat="1" applyFill="1" applyBorder="1"/>
    <xf numFmtId="172" fontId="0" fillId="0" borderId="36" xfId="0" applyNumberFormat="1" applyFill="1" applyBorder="1"/>
    <xf numFmtId="0" fontId="7" fillId="0" borderId="57" xfId="0" applyFont="1" applyBorder="1"/>
    <xf numFmtId="0" fontId="7" fillId="0" borderId="1" xfId="0" applyFont="1" applyBorder="1"/>
    <xf numFmtId="0" fontId="0" fillId="0" borderId="60" xfId="0" applyBorder="1"/>
    <xf numFmtId="0" fontId="0" fillId="0" borderId="42" xfId="0" applyBorder="1"/>
    <xf numFmtId="0" fontId="40" fillId="0" borderId="42" xfId="0" applyFont="1" applyBorder="1"/>
    <xf numFmtId="0" fontId="40" fillId="0" borderId="60" xfId="0" applyFont="1" applyBorder="1"/>
    <xf numFmtId="0" fontId="0" fillId="0" borderId="41" xfId="0" applyBorder="1"/>
    <xf numFmtId="175" fontId="11" fillId="0" borderId="54" xfId="0" applyNumberFormat="1" applyFont="1" applyBorder="1" applyAlignment="1">
      <alignment horizontal="right" vertical="top" wrapText="1"/>
    </xf>
    <xf numFmtId="172" fontId="0" fillId="0" borderId="54" xfId="0" applyNumberFormat="1" applyFill="1" applyBorder="1"/>
    <xf numFmtId="172" fontId="0" fillId="0" borderId="52" xfId="0" applyNumberFormat="1" applyFill="1" applyBorder="1"/>
    <xf numFmtId="0" fontId="0" fillId="0" borderId="57" xfId="0" applyBorder="1"/>
    <xf numFmtId="172" fontId="0" fillId="0" borderId="27" xfId="0" applyNumberFormat="1" applyFill="1" applyBorder="1"/>
    <xf numFmtId="172" fontId="0" fillId="0" borderId="83" xfId="0" applyNumberFormat="1" applyFill="1" applyBorder="1"/>
    <xf numFmtId="172" fontId="0" fillId="0" borderId="37" xfId="0" applyNumberFormat="1" applyFill="1" applyBorder="1"/>
    <xf numFmtId="3" fontId="0" fillId="0" borderId="0" xfId="0" applyNumberFormat="1" applyBorder="1"/>
    <xf numFmtId="3" fontId="0" fillId="0" borderId="40" xfId="0" applyNumberFormat="1" applyBorder="1"/>
    <xf numFmtId="3" fontId="0" fillId="0" borderId="34" xfId="0" applyNumberFormat="1" applyBorder="1"/>
    <xf numFmtId="0" fontId="7" fillId="0" borderId="59" xfId="0" applyFont="1" applyBorder="1"/>
    <xf numFmtId="3" fontId="0" fillId="0" borderId="36" xfId="0" applyNumberFormat="1" applyBorder="1"/>
    <xf numFmtId="0" fontId="7" fillId="0" borderId="27" xfId="0" applyFont="1" applyBorder="1"/>
    <xf numFmtId="0" fontId="7" fillId="0" borderId="0" xfId="0" applyFont="1" applyBorder="1"/>
    <xf numFmtId="0" fontId="7" fillId="0" borderId="40" xfId="0" applyFont="1" applyBorder="1"/>
    <xf numFmtId="3" fontId="0" fillId="0" borderId="54" xfId="0" applyNumberFormat="1" applyBorder="1"/>
    <xf numFmtId="3" fontId="0" fillId="0" borderId="52" xfId="0" applyNumberFormat="1" applyBorder="1"/>
    <xf numFmtId="0" fontId="7" fillId="0" borderId="83" xfId="0" applyFont="1" applyFill="1" applyBorder="1"/>
    <xf numFmtId="0" fontId="33" fillId="3" borderId="0" xfId="0" applyFont="1" applyFill="1"/>
    <xf numFmtId="0" fontId="33" fillId="0" borderId="87" xfId="0" applyFont="1" applyBorder="1"/>
    <xf numFmtId="3" fontId="8" fillId="0" borderId="34" xfId="0" applyNumberFormat="1" applyFont="1" applyBorder="1"/>
    <xf numFmtId="174" fontId="8" fillId="7" borderId="36" xfId="0" applyNumberFormat="1" applyFont="1" applyFill="1" applyBorder="1"/>
    <xf numFmtId="3" fontId="0" fillId="8" borderId="0" xfId="0" applyNumberFormat="1" applyFill="1" applyBorder="1" applyAlignment="1">
      <alignment horizontal="right"/>
    </xf>
    <xf numFmtId="3" fontId="0" fillId="9" borderId="0" xfId="0" applyNumberFormat="1" applyFill="1" applyBorder="1" applyAlignment="1">
      <alignment horizontal="right"/>
    </xf>
    <xf numFmtId="3" fontId="0" fillId="9" borderId="40" xfId="0" applyNumberFormat="1" applyFill="1" applyBorder="1" applyAlignment="1">
      <alignment horizontal="right"/>
    </xf>
    <xf numFmtId="2" fontId="0" fillId="8" borderId="0" xfId="0" applyNumberFormat="1" applyFill="1" applyBorder="1"/>
    <xf numFmtId="2" fontId="0" fillId="9" borderId="0" xfId="0" applyNumberFormat="1" applyFill="1" applyBorder="1"/>
    <xf numFmtId="2" fontId="0" fillId="9" borderId="40" xfId="0" applyNumberFormat="1" applyFill="1" applyBorder="1"/>
    <xf numFmtId="0" fontId="0" fillId="0" borderId="36" xfId="0" quotePrefix="1" applyBorder="1" applyAlignment="1">
      <alignment horizontal="right"/>
    </xf>
    <xf numFmtId="3" fontId="33" fillId="0" borderId="0" xfId="0" applyNumberFormat="1" applyFont="1" applyFill="1" applyBorder="1"/>
    <xf numFmtId="3" fontId="33" fillId="0" borderId="40" xfId="0" applyNumberFormat="1" applyFont="1" applyFill="1" applyBorder="1"/>
    <xf numFmtId="3" fontId="36" fillId="0" borderId="0" xfId="0" applyNumberFormat="1" applyFont="1" applyFill="1" applyBorder="1"/>
    <xf numFmtId="3" fontId="36" fillId="0" borderId="40" xfId="0" applyNumberFormat="1" applyFont="1" applyFill="1" applyBorder="1"/>
    <xf numFmtId="0" fontId="41" fillId="0" borderId="83" xfId="0" applyFont="1" applyBorder="1"/>
    <xf numFmtId="3" fontId="36" fillId="0" borderId="58" xfId="0" applyNumberFormat="1" applyFont="1" applyFill="1" applyBorder="1"/>
    <xf numFmtId="3" fontId="36" fillId="0" borderId="59" xfId="0" applyNumberFormat="1" applyFont="1" applyFill="1" applyBorder="1"/>
    <xf numFmtId="3" fontId="36" fillId="0" borderId="54" xfId="0" applyNumberFormat="1" applyFont="1" applyFill="1" applyBorder="1"/>
    <xf numFmtId="3" fontId="36" fillId="0" borderId="52" xfId="0" applyNumberFormat="1" applyFont="1" applyFill="1" applyBorder="1"/>
    <xf numFmtId="3" fontId="33" fillId="0" borderId="34" xfId="0" applyNumberFormat="1" applyFont="1" applyBorder="1"/>
    <xf numFmtId="3" fontId="33" fillId="0" borderId="36" xfId="0" applyNumberFormat="1" applyFont="1" applyBorder="1"/>
    <xf numFmtId="3" fontId="36" fillId="0" borderId="54" xfId="0" applyNumberFormat="1" applyFont="1" applyBorder="1"/>
    <xf numFmtId="3" fontId="36" fillId="0" borderId="52" xfId="0" applyNumberFormat="1" applyFont="1" applyBorder="1"/>
    <xf numFmtId="0" fontId="7" fillId="0" borderId="41" xfId="0" applyFont="1" applyBorder="1"/>
    <xf numFmtId="0" fontId="7" fillId="0" borderId="42" xfId="0" applyFont="1" applyBorder="1"/>
    <xf numFmtId="0" fontId="0" fillId="0" borderId="42" xfId="0" applyFill="1" applyBorder="1"/>
    <xf numFmtId="0" fontId="0" fillId="0" borderId="42" xfId="0" applyBorder="1" applyAlignment="1">
      <alignment vertical="center"/>
    </xf>
    <xf numFmtId="0" fontId="0" fillId="0" borderId="60" xfId="0" applyBorder="1" applyAlignment="1">
      <alignment vertical="center"/>
    </xf>
    <xf numFmtId="0" fontId="41" fillId="0" borderId="57" xfId="0" applyFont="1" applyBorder="1"/>
    <xf numFmtId="0" fontId="0" fillId="0" borderId="37" xfId="0" applyBorder="1" applyAlignment="1">
      <alignment vertical="top" wrapText="1"/>
    </xf>
    <xf numFmtId="0" fontId="43" fillId="0" borderId="57" xfId="0" applyFont="1" applyBorder="1"/>
    <xf numFmtId="0" fontId="8" fillId="0" borderId="58" xfId="0" applyFont="1" applyBorder="1"/>
    <xf numFmtId="0" fontId="0" fillId="0" borderId="0" xfId="0" applyFill="1"/>
    <xf numFmtId="3" fontId="0" fillId="13" borderId="90" xfId="0" applyNumberFormat="1" applyFill="1" applyBorder="1"/>
    <xf numFmtId="3" fontId="0" fillId="13" borderId="91" xfId="0" applyNumberFormat="1" applyFill="1" applyBorder="1"/>
    <xf numFmtId="3" fontId="44" fillId="13" borderId="90" xfId="0" applyNumberFormat="1" applyFont="1" applyFill="1" applyBorder="1"/>
    <xf numFmtId="3" fontId="44" fillId="13" borderId="91" xfId="0" applyNumberFormat="1" applyFont="1" applyFill="1" applyBorder="1"/>
    <xf numFmtId="3" fontId="0" fillId="14" borderId="90" xfId="0" applyNumberFormat="1" applyFill="1" applyBorder="1"/>
    <xf numFmtId="3" fontId="44" fillId="14" borderId="90" xfId="0" applyNumberFormat="1" applyFont="1" applyFill="1" applyBorder="1"/>
    <xf numFmtId="0" fontId="0" fillId="0" borderId="83" xfId="0" applyFill="1" applyBorder="1"/>
    <xf numFmtId="0" fontId="7" fillId="13" borderId="54" xfId="0" applyFont="1" applyFill="1" applyBorder="1" applyAlignment="1">
      <alignment horizontal="right"/>
    </xf>
    <xf numFmtId="0" fontId="7" fillId="14" borderId="54" xfId="0" applyFont="1" applyFill="1" applyBorder="1" applyAlignment="1">
      <alignment horizontal="right"/>
    </xf>
    <xf numFmtId="0" fontId="7" fillId="14" borderId="52" xfId="0" applyFont="1" applyFill="1" applyBorder="1" applyAlignment="1">
      <alignment horizontal="right"/>
    </xf>
    <xf numFmtId="0" fontId="7" fillId="13" borderId="34" xfId="0" applyFont="1" applyFill="1" applyBorder="1"/>
    <xf numFmtId="0" fontId="7" fillId="14" borderId="34" xfId="0" applyFont="1" applyFill="1" applyBorder="1"/>
    <xf numFmtId="0" fontId="7" fillId="14" borderId="36" xfId="0" applyFont="1" applyFill="1" applyBorder="1"/>
    <xf numFmtId="3" fontId="0" fillId="13" borderId="92" xfId="0" applyNumberFormat="1" applyFill="1" applyBorder="1"/>
    <xf numFmtId="3" fontId="0" fillId="13" borderId="93" xfId="0" applyNumberFormat="1" applyFill="1" applyBorder="1"/>
    <xf numFmtId="3" fontId="0" fillId="14" borderId="92" xfId="0" applyNumberFormat="1" applyFill="1" applyBorder="1"/>
    <xf numFmtId="3" fontId="0" fillId="14" borderId="52" xfId="0" applyNumberFormat="1" applyFill="1" applyBorder="1"/>
    <xf numFmtId="0" fontId="0" fillId="0" borderId="94" xfId="0" applyFill="1" applyBorder="1"/>
    <xf numFmtId="3" fontId="0" fillId="14" borderId="95" xfId="0" applyNumberFormat="1" applyFill="1" applyBorder="1"/>
    <xf numFmtId="0" fontId="44" fillId="0" borderId="94" xfId="0" applyFont="1" applyFill="1" applyBorder="1"/>
    <xf numFmtId="3" fontId="44" fillId="14" borderId="95" xfId="0" applyNumberFormat="1" applyFont="1" applyFill="1" applyBorder="1"/>
    <xf numFmtId="0" fontId="0" fillId="0" borderId="57" xfId="0" applyFill="1" applyBorder="1"/>
    <xf numFmtId="3" fontId="0" fillId="13" borderId="96" xfId="0" applyNumberFormat="1" applyFill="1" applyBorder="1"/>
    <xf numFmtId="3" fontId="0" fillId="13" borderId="97" xfId="0" applyNumberFormat="1" applyFill="1" applyBorder="1"/>
    <xf numFmtId="3" fontId="0" fillId="14" borderId="96" xfId="0" applyNumberFormat="1" applyFill="1" applyBorder="1"/>
    <xf numFmtId="3" fontId="0" fillId="14" borderId="59" xfId="0" applyNumberFormat="1" applyFill="1" applyBorder="1"/>
    <xf numFmtId="0" fontId="13" fillId="0" borderId="83" xfId="0" applyFont="1" applyBorder="1"/>
    <xf numFmtId="0" fontId="13" fillId="0" borderId="52" xfId="0" applyFont="1" applyBorder="1"/>
    <xf numFmtId="0" fontId="13" fillId="10" borderId="58" xfId="0" applyFont="1" applyFill="1" applyBorder="1"/>
    <xf numFmtId="0" fontId="13" fillId="11" borderId="57" xfId="0" applyFont="1" applyFill="1" applyBorder="1"/>
    <xf numFmtId="0" fontId="13" fillId="11" borderId="58" xfId="0" applyFont="1" applyFill="1" applyBorder="1"/>
    <xf numFmtId="0" fontId="13" fillId="11" borderId="59" xfId="0" applyFont="1" applyFill="1" applyBorder="1"/>
    <xf numFmtId="0" fontId="0" fillId="10" borderId="27" xfId="0" applyFill="1" applyBorder="1" applyAlignment="1">
      <alignment horizontal="left"/>
    </xf>
    <xf numFmtId="0" fontId="0" fillId="10" borderId="0" xfId="0" applyFill="1" applyBorder="1"/>
    <xf numFmtId="0" fontId="0" fillId="10" borderId="40" xfId="0" applyFill="1" applyBorder="1"/>
    <xf numFmtId="0" fontId="13" fillId="0" borderId="27" xfId="0" applyFont="1" applyBorder="1"/>
    <xf numFmtId="0" fontId="13" fillId="0" borderId="40" xfId="0" applyFont="1" applyBorder="1"/>
    <xf numFmtId="3" fontId="0" fillId="10" borderId="0" xfId="0" applyNumberFormat="1" applyFill="1" applyBorder="1"/>
    <xf numFmtId="168" fontId="0" fillId="10" borderId="0" xfId="0" applyNumberFormat="1" applyFill="1" applyBorder="1"/>
    <xf numFmtId="3" fontId="0" fillId="11" borderId="27" xfId="0" applyNumberFormat="1" applyFill="1" applyBorder="1"/>
    <xf numFmtId="3" fontId="0" fillId="11" borderId="0" xfId="0" applyNumberFormat="1" applyFill="1" applyBorder="1"/>
    <xf numFmtId="168" fontId="0" fillId="11" borderId="40" xfId="0" applyNumberFormat="1" applyFill="1" applyBorder="1"/>
    <xf numFmtId="0" fontId="0" fillId="0" borderId="36" xfId="0" applyBorder="1" applyAlignment="1">
      <alignment vertical="top"/>
    </xf>
    <xf numFmtId="3" fontId="0" fillId="10" borderId="34" xfId="0" applyNumberFormat="1" applyFill="1" applyBorder="1" applyAlignment="1">
      <alignment vertical="top"/>
    </xf>
    <xf numFmtId="168" fontId="0" fillId="10" borderId="34" xfId="0" applyNumberFormat="1" applyFill="1" applyBorder="1" applyAlignment="1">
      <alignment vertical="top"/>
    </xf>
    <xf numFmtId="3" fontId="0" fillId="11" borderId="37" xfId="0" applyNumberFormat="1" applyFill="1" applyBorder="1" applyAlignment="1">
      <alignment vertical="top"/>
    </xf>
    <xf numFmtId="168" fontId="0" fillId="11" borderId="36" xfId="0" applyNumberFormat="1" applyFill="1" applyBorder="1" applyAlignment="1">
      <alignment vertical="top"/>
    </xf>
    <xf numFmtId="3" fontId="0" fillId="10" borderId="34" xfId="0" applyNumberFormat="1" applyFill="1" applyBorder="1"/>
    <xf numFmtId="168" fontId="0" fillId="10" borderId="34" xfId="0" applyNumberFormat="1" applyFill="1" applyBorder="1"/>
    <xf numFmtId="3" fontId="0" fillId="11" borderId="37" xfId="0" applyNumberFormat="1" applyFill="1" applyBorder="1"/>
    <xf numFmtId="168" fontId="0" fillId="11" borderId="36" xfId="0" applyNumberFormat="1" applyFill="1" applyBorder="1"/>
    <xf numFmtId="0" fontId="0" fillId="0" borderId="83" xfId="0" applyBorder="1"/>
    <xf numFmtId="176" fontId="0" fillId="0" borderId="0" xfId="0" applyNumberFormat="1" applyBorder="1"/>
    <xf numFmtId="169" fontId="0" fillId="0" borderId="0" xfId="0" applyNumberFormat="1" applyBorder="1"/>
    <xf numFmtId="0" fontId="0" fillId="0" borderId="0" xfId="0" applyBorder="1" applyAlignment="1">
      <alignment wrapText="1"/>
    </xf>
    <xf numFmtId="0" fontId="0" fillId="0" borderId="0" xfId="0" applyAlignment="1">
      <alignment vertical="top" wrapText="1"/>
    </xf>
    <xf numFmtId="0" fontId="0" fillId="0" borderId="0" xfId="0" applyAlignment="1">
      <alignment vertical="top" wrapText="1"/>
    </xf>
    <xf numFmtId="165" fontId="0" fillId="0" borderId="0" xfId="0" applyNumberFormat="1"/>
    <xf numFmtId="165" fontId="41" fillId="0" borderId="0" xfId="406" applyFont="1" applyBorder="1"/>
    <xf numFmtId="165" fontId="0" fillId="3" borderId="0" xfId="0" applyNumberFormat="1" applyFill="1"/>
    <xf numFmtId="0" fontId="46" fillId="0" borderId="0" xfId="0" applyFont="1"/>
    <xf numFmtId="0" fontId="46" fillId="0" borderId="26" xfId="0" applyFont="1" applyBorder="1"/>
    <xf numFmtId="0" fontId="46" fillId="0" borderId="0" xfId="0" applyFont="1" applyBorder="1"/>
    <xf numFmtId="3" fontId="0" fillId="0" borderId="0" xfId="0" applyNumberFormat="1" applyAlignment="1">
      <alignment vertical="top" wrapText="1"/>
    </xf>
    <xf numFmtId="0" fontId="33" fillId="0" borderId="99" xfId="0" applyFont="1" applyBorder="1"/>
    <xf numFmtId="0" fontId="8" fillId="0" borderId="98" xfId="0" applyFont="1" applyBorder="1" applyAlignment="1">
      <alignment horizontal="center"/>
    </xf>
    <xf numFmtId="0" fontId="8" fillId="0" borderId="12" xfId="0" applyFont="1" applyBorder="1" applyAlignment="1">
      <alignment horizontal="center"/>
    </xf>
    <xf numFmtId="0" fontId="8" fillId="0" borderId="100" xfId="0" applyFont="1" applyBorder="1"/>
    <xf numFmtId="0" fontId="8" fillId="0" borderId="8" xfId="0" applyFont="1" applyBorder="1"/>
    <xf numFmtId="3" fontId="9" fillId="3" borderId="16" xfId="0" applyNumberFormat="1" applyFont="1" applyFill="1" applyBorder="1"/>
    <xf numFmtId="0" fontId="9" fillId="0" borderId="52" xfId="0" applyFont="1" applyFill="1" applyBorder="1"/>
    <xf numFmtId="4" fontId="8" fillId="3" borderId="36" xfId="0" applyNumberFormat="1" applyFont="1" applyFill="1" applyBorder="1"/>
    <xf numFmtId="0" fontId="0" fillId="0" borderId="0" xfId="0" applyBorder="1" applyAlignment="1">
      <alignment wrapText="1"/>
    </xf>
    <xf numFmtId="0" fontId="0" fillId="0" borderId="0" xfId="0" applyAlignment="1">
      <alignment vertical="top" wrapText="1"/>
    </xf>
    <xf numFmtId="0" fontId="7" fillId="0" borderId="0" xfId="0" applyFont="1" applyAlignment="1">
      <alignment wrapText="1"/>
    </xf>
    <xf numFmtId="0" fontId="0" fillId="0" borderId="0" xfId="0" quotePrefix="1" applyAlignment="1">
      <alignment vertical="top"/>
    </xf>
    <xf numFmtId="177" fontId="6" fillId="0" borderId="0" xfId="1" applyNumberFormat="1" applyFont="1" applyAlignment="1">
      <alignment vertical="top"/>
    </xf>
    <xf numFmtId="177" fontId="6" fillId="0" borderId="0" xfId="1" applyNumberFormat="1" applyFont="1"/>
    <xf numFmtId="177" fontId="7" fillId="15" borderId="0" xfId="0" applyNumberFormat="1" applyFont="1" applyFill="1"/>
    <xf numFmtId="177" fontId="7" fillId="0" borderId="0" xfId="1" applyNumberFormat="1" applyFont="1"/>
    <xf numFmtId="177" fontId="7" fillId="16" borderId="0" xfId="0" applyNumberFormat="1" applyFont="1" applyFill="1"/>
    <xf numFmtId="177" fontId="47" fillId="17" borderId="0" xfId="0" applyNumberFormat="1" applyFont="1" applyFill="1"/>
    <xf numFmtId="177" fontId="7" fillId="18" borderId="0" xfId="0" applyNumberFormat="1" applyFont="1" applyFill="1"/>
    <xf numFmtId="177" fontId="7" fillId="19" borderId="0" xfId="0" applyNumberFormat="1" applyFont="1" applyFill="1"/>
    <xf numFmtId="177" fontId="7" fillId="17" borderId="0" xfId="0" applyNumberFormat="1" applyFont="1" applyFill="1"/>
    <xf numFmtId="177" fontId="0" fillId="0" borderId="0" xfId="0" applyNumberFormat="1"/>
    <xf numFmtId="177" fontId="7" fillId="20" borderId="0" xfId="0" applyNumberFormat="1" applyFont="1" applyFill="1"/>
    <xf numFmtId="177" fontId="7" fillId="0" borderId="0" xfId="0" applyNumberFormat="1" applyFont="1"/>
    <xf numFmtId="177" fontId="7" fillId="21" borderId="0" xfId="0" applyNumberFormat="1" applyFont="1" applyFill="1"/>
    <xf numFmtId="177" fontId="7" fillId="3" borderId="0" xfId="0" applyNumberFormat="1" applyFont="1" applyFill="1"/>
    <xf numFmtId="177" fontId="6" fillId="3" borderId="0" xfId="1" applyNumberFormat="1" applyFont="1" applyFill="1"/>
    <xf numFmtId="3" fontId="0" fillId="0" borderId="0" xfId="0" applyNumberFormat="1" applyFont="1"/>
    <xf numFmtId="0" fontId="0" fillId="0" borderId="0" xfId="0" applyFont="1" applyAlignment="1">
      <alignment horizontal="right"/>
    </xf>
    <xf numFmtId="165" fontId="0" fillId="0" borderId="18" xfId="406" applyFont="1" applyBorder="1"/>
    <xf numFmtId="165" fontId="0" fillId="0" borderId="19" xfId="406" applyFont="1" applyBorder="1"/>
    <xf numFmtId="165" fontId="0" fillId="0" borderId="20" xfId="406" applyFont="1" applyBorder="1"/>
    <xf numFmtId="165" fontId="7" fillId="0" borderId="17" xfId="406" applyFont="1" applyBorder="1"/>
    <xf numFmtId="0" fontId="7" fillId="0" borderId="21" xfId="0" applyFont="1" applyBorder="1" applyAlignment="1">
      <alignment horizontal="right"/>
    </xf>
    <xf numFmtId="3" fontId="0" fillId="0" borderId="22" xfId="0" applyNumberFormat="1" applyFont="1" applyBorder="1"/>
    <xf numFmtId="3" fontId="0" fillId="0" borderId="23" xfId="0" applyNumberFormat="1" applyFont="1" applyBorder="1"/>
    <xf numFmtId="3" fontId="0" fillId="0" borderId="101" xfId="0" applyNumberFormat="1" applyFont="1" applyBorder="1"/>
    <xf numFmtId="3" fontId="0" fillId="0" borderId="21" xfId="0" applyNumberFormat="1" applyFont="1" applyBorder="1"/>
    <xf numFmtId="0" fontId="7" fillId="0" borderId="1" xfId="0" applyFont="1" applyBorder="1" applyAlignment="1">
      <alignment horizontal="center"/>
    </xf>
    <xf numFmtId="0" fontId="0" fillId="0" borderId="102" xfId="0" applyFont="1" applyBorder="1" applyAlignment="1">
      <alignment horizontal="center"/>
    </xf>
    <xf numFmtId="0" fontId="0" fillId="0" borderId="0" xfId="0" applyFont="1" applyFill="1" applyBorder="1"/>
    <xf numFmtId="3" fontId="0" fillId="0" borderId="0" xfId="0" applyNumberFormat="1" applyFont="1" applyAlignment="1">
      <alignment horizontal="right"/>
    </xf>
    <xf numFmtId="0" fontId="7" fillId="0" borderId="0" xfId="0" applyFont="1" applyAlignment="1">
      <alignment horizontal="right" vertical="top" wrapText="1"/>
    </xf>
    <xf numFmtId="0" fontId="0" fillId="0" borderId="0" xfId="0" applyAlignment="1">
      <alignment vertical="top" wrapText="1"/>
    </xf>
    <xf numFmtId="0" fontId="0" fillId="0" borderId="0" xfId="0" applyAlignment="1">
      <alignment vertical="top" wrapText="1"/>
    </xf>
    <xf numFmtId="0" fontId="0" fillId="0" borderId="103" xfId="0" applyBorder="1" applyAlignment="1">
      <alignment vertical="top" wrapText="1"/>
    </xf>
    <xf numFmtId="3" fontId="0" fillId="0" borderId="103" xfId="0" applyNumberFormat="1" applyBorder="1" applyAlignment="1">
      <alignment vertical="top" wrapText="1"/>
    </xf>
    <xf numFmtId="3" fontId="0" fillId="0" borderId="106" xfId="0" applyNumberFormat="1" applyBorder="1" applyAlignment="1">
      <alignment vertical="top" wrapText="1"/>
    </xf>
    <xf numFmtId="3" fontId="0" fillId="0" borderId="107" xfId="0" applyNumberFormat="1" applyBorder="1" applyAlignment="1">
      <alignment vertical="top" wrapText="1"/>
    </xf>
    <xf numFmtId="3" fontId="0" fillId="0" borderId="108" xfId="0" applyNumberFormat="1" applyBorder="1" applyAlignment="1">
      <alignment vertical="top" wrapText="1"/>
    </xf>
    <xf numFmtId="3" fontId="0" fillId="0" borderId="104" xfId="0" applyNumberFormat="1" applyBorder="1" applyAlignment="1">
      <alignment vertical="top" wrapText="1"/>
    </xf>
    <xf numFmtId="3" fontId="0" fillId="0" borderId="105" xfId="0" applyNumberFormat="1" applyBorder="1" applyAlignment="1">
      <alignment vertical="top" wrapText="1"/>
    </xf>
    <xf numFmtId="0" fontId="7" fillId="0" borderId="3" xfId="0" applyFont="1" applyBorder="1" applyAlignment="1">
      <alignment horizontal="right" wrapText="1"/>
    </xf>
    <xf numFmtId="0" fontId="7" fillId="0" borderId="4" xfId="0" applyFont="1" applyBorder="1" applyAlignment="1">
      <alignment horizontal="right" wrapText="1"/>
    </xf>
    <xf numFmtId="0" fontId="7" fillId="0" borderId="2" xfId="0" applyFont="1" applyBorder="1" applyAlignment="1">
      <alignment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7" fillId="0" borderId="1" xfId="0" applyFont="1" applyBorder="1" applyAlignment="1">
      <alignment wrapText="1"/>
    </xf>
    <xf numFmtId="0" fontId="0" fillId="0" borderId="102" xfId="0" applyBorder="1" applyAlignment="1">
      <alignment vertical="top" wrapText="1"/>
    </xf>
    <xf numFmtId="0" fontId="0" fillId="0" borderId="112" xfId="0" applyBorder="1" applyAlignment="1">
      <alignment vertical="top" wrapText="1"/>
    </xf>
    <xf numFmtId="0" fontId="7" fillId="0" borderId="112" xfId="0" applyFont="1" applyBorder="1" applyAlignment="1">
      <alignment vertical="top" wrapText="1"/>
    </xf>
    <xf numFmtId="0" fontId="0" fillId="0" borderId="42" xfId="0" applyBorder="1" applyAlignment="1">
      <alignment vertical="top" wrapText="1"/>
    </xf>
    <xf numFmtId="0" fontId="0" fillId="0" borderId="1" xfId="0" applyBorder="1" applyAlignment="1">
      <alignment vertical="top" wrapText="1"/>
    </xf>
    <xf numFmtId="0" fontId="7" fillId="0" borderId="42" xfId="0" applyFont="1" applyBorder="1" applyAlignment="1">
      <alignment vertical="top" wrapText="1"/>
    </xf>
    <xf numFmtId="0" fontId="0" fillId="0" borderId="115" xfId="0" applyBorder="1" applyAlignment="1">
      <alignment vertical="top" wrapText="1"/>
    </xf>
    <xf numFmtId="3" fontId="0" fillId="0" borderId="116" xfId="0" applyNumberFormat="1" applyBorder="1" applyAlignment="1">
      <alignment vertical="top" wrapText="1"/>
    </xf>
    <xf numFmtId="0" fontId="7" fillId="0" borderId="41" xfId="0" applyFont="1" applyBorder="1" applyAlignment="1">
      <alignment vertical="top" wrapText="1"/>
    </xf>
    <xf numFmtId="3" fontId="0" fillId="0" borderId="117" xfId="0" applyNumberFormat="1" applyBorder="1" applyAlignment="1">
      <alignment vertical="top" wrapText="1"/>
    </xf>
    <xf numFmtId="0" fontId="0" fillId="0" borderId="2" xfId="0" applyBorder="1" applyAlignment="1">
      <alignment vertical="top" wrapText="1"/>
    </xf>
    <xf numFmtId="3" fontId="0" fillId="0" borderId="3" xfId="0" applyNumberFormat="1" applyBorder="1" applyAlignment="1">
      <alignment vertical="top" wrapText="1"/>
    </xf>
    <xf numFmtId="3" fontId="0" fillId="0" borderId="4" xfId="0" applyNumberFormat="1" applyBorder="1" applyAlignment="1">
      <alignment vertical="top" wrapText="1"/>
    </xf>
    <xf numFmtId="0" fontId="7" fillId="0" borderId="1" xfId="0" applyFont="1" applyBorder="1" applyAlignment="1">
      <alignment vertical="top" wrapText="1"/>
    </xf>
    <xf numFmtId="0" fontId="7" fillId="0" borderId="114" xfId="0" applyFont="1" applyBorder="1" applyAlignment="1">
      <alignment vertical="top" wrapText="1"/>
    </xf>
    <xf numFmtId="0" fontId="7" fillId="0" borderId="113" xfId="0" applyFont="1" applyBorder="1" applyAlignment="1">
      <alignment vertical="top" wrapText="1"/>
    </xf>
    <xf numFmtId="0" fontId="48" fillId="0" borderId="0" xfId="0" applyFont="1" applyFill="1" applyAlignment="1">
      <alignment vertical="top" wrapText="1"/>
    </xf>
    <xf numFmtId="0" fontId="0" fillId="0" borderId="9" xfId="0" applyFont="1" applyBorder="1" applyAlignment="1">
      <alignment horizontal="left"/>
    </xf>
    <xf numFmtId="0" fontId="0" fillId="0" borderId="9" xfId="0" applyBorder="1" applyAlignment="1">
      <alignment horizontal="left" wrapText="1"/>
    </xf>
    <xf numFmtId="0" fontId="0" fillId="0" borderId="9" xfId="0" applyFont="1" applyBorder="1" applyAlignment="1">
      <alignment horizontal="left" wrapText="1"/>
    </xf>
    <xf numFmtId="0" fontId="0" fillId="0" borderId="13" xfId="0" applyFont="1" applyBorder="1" applyAlignment="1">
      <alignment horizontal="left"/>
    </xf>
    <xf numFmtId="0" fontId="0" fillId="0" borderId="1" xfId="0" applyFont="1" applyBorder="1" applyAlignment="1">
      <alignment horizontal="left"/>
    </xf>
    <xf numFmtId="0" fontId="7" fillId="0" borderId="0" xfId="0" applyFont="1" applyBorder="1" applyAlignment="1">
      <alignment vertical="top" wrapText="1"/>
    </xf>
    <xf numFmtId="0" fontId="0" fillId="0" borderId="0" xfId="0" applyAlignment="1">
      <alignment vertical="top" wrapText="1"/>
    </xf>
    <xf numFmtId="165" fontId="0" fillId="0" borderId="0" xfId="1" applyFont="1"/>
    <xf numFmtId="165" fontId="41" fillId="0" borderId="0" xfId="1" applyFont="1"/>
    <xf numFmtId="165" fontId="0" fillId="0" borderId="0" xfId="1" applyFont="1" applyFill="1"/>
    <xf numFmtId="165" fontId="0" fillId="0" borderId="0" xfId="1" applyFont="1" applyFill="1" applyAlignment="1">
      <alignment wrapText="1"/>
    </xf>
    <xf numFmtId="165" fontId="0" fillId="0" borderId="34" xfId="1" applyFont="1" applyBorder="1"/>
    <xf numFmtId="165" fontId="0" fillId="0" borderId="0" xfId="1" applyFont="1" applyAlignment="1">
      <alignment horizontal="right"/>
    </xf>
    <xf numFmtId="165" fontId="24" fillId="0" borderId="0" xfId="1" applyFont="1" applyAlignment="1">
      <alignment horizontal="left" vertical="center" indent="3"/>
    </xf>
    <xf numFmtId="165" fontId="7" fillId="0" borderId="0" xfId="1" applyFont="1" applyFill="1"/>
    <xf numFmtId="165" fontId="7" fillId="0" borderId="34" xfId="1" applyFont="1" applyBorder="1"/>
    <xf numFmtId="165" fontId="23" fillId="23" borderId="77" xfId="1" applyFont="1" applyFill="1" applyBorder="1" applyAlignment="1">
      <alignment vertical="center" wrapText="1"/>
    </xf>
    <xf numFmtId="165" fontId="23" fillId="5" borderId="39" xfId="1" applyFont="1" applyFill="1" applyBorder="1" applyAlignment="1">
      <alignment horizontal="right" vertical="center" wrapText="1"/>
    </xf>
    <xf numFmtId="165" fontId="23" fillId="5" borderId="77" xfId="1" applyFont="1" applyFill="1" applyBorder="1" applyAlignment="1">
      <alignment horizontal="right" vertical="center" wrapText="1"/>
    </xf>
    <xf numFmtId="165" fontId="7" fillId="0" borderId="0" xfId="1" applyFont="1"/>
    <xf numFmtId="165" fontId="23" fillId="5" borderId="76" xfId="1" applyFont="1" applyFill="1" applyBorder="1" applyAlignment="1">
      <alignment vertical="center" wrapText="1"/>
    </xf>
    <xf numFmtId="165" fontId="23" fillId="23" borderId="77" xfId="1" applyFont="1" applyFill="1" applyBorder="1" applyAlignment="1">
      <alignment vertical="top" wrapText="1"/>
    </xf>
    <xf numFmtId="165" fontId="23" fillId="5" borderId="77" xfId="1" applyFont="1" applyFill="1" applyBorder="1" applyAlignment="1">
      <alignment vertical="top" wrapText="1"/>
    </xf>
    <xf numFmtId="165" fontId="23" fillId="24" borderId="77" xfId="1" applyFont="1" applyFill="1" applyBorder="1" applyAlignment="1">
      <alignment vertical="top" wrapText="1"/>
    </xf>
    <xf numFmtId="165" fontId="23" fillId="22" borderId="77" xfId="1" applyFont="1" applyFill="1" applyBorder="1" applyAlignment="1">
      <alignment vertical="top" wrapText="1"/>
    </xf>
    <xf numFmtId="165" fontId="0" fillId="0" borderId="0" xfId="1" applyFont="1" applyAlignment="1">
      <alignment horizontal="left" wrapText="1"/>
    </xf>
    <xf numFmtId="165" fontId="23" fillId="5" borderId="75" xfId="1" applyFont="1" applyFill="1" applyBorder="1" applyAlignment="1">
      <alignment vertical="center" wrapText="1"/>
    </xf>
    <xf numFmtId="165" fontId="23" fillId="5" borderId="78" xfId="1" applyFont="1" applyFill="1" applyBorder="1" applyAlignment="1">
      <alignment vertical="top" wrapText="1"/>
    </xf>
    <xf numFmtId="165" fontId="23" fillId="5" borderId="79" xfId="1" applyFont="1" applyFill="1" applyBorder="1" applyAlignment="1">
      <alignment horizontal="right" vertical="center" wrapText="1"/>
    </xf>
    <xf numFmtId="165" fontId="23" fillId="5" borderId="78" xfId="1" applyFont="1" applyFill="1" applyBorder="1" applyAlignment="1">
      <alignment horizontal="right" vertical="center" wrapText="1"/>
    </xf>
    <xf numFmtId="165" fontId="23" fillId="5" borderId="77" xfId="1" applyFont="1" applyFill="1" applyBorder="1" applyAlignment="1">
      <alignment vertical="center" wrapText="1"/>
    </xf>
    <xf numFmtId="165" fontId="7" fillId="0" borderId="0" xfId="1" applyFont="1" applyAlignment="1">
      <alignment vertical="top" wrapText="1"/>
    </xf>
    <xf numFmtId="165" fontId="23" fillId="5" borderId="81" xfId="1" applyFont="1" applyFill="1" applyBorder="1" applyAlignment="1">
      <alignment vertical="center" wrapText="1"/>
    </xf>
    <xf numFmtId="165" fontId="27" fillId="3" borderId="0" xfId="1" applyFont="1" applyFill="1" applyAlignment="1">
      <alignment vertical="center"/>
    </xf>
    <xf numFmtId="165" fontId="0" fillId="3" borderId="0" xfId="1" applyFont="1" applyFill="1"/>
    <xf numFmtId="165" fontId="0" fillId="25" borderId="0" xfId="1" applyFont="1" applyFill="1"/>
    <xf numFmtId="165" fontId="0" fillId="23" borderId="0" xfId="1" applyFont="1" applyFill="1"/>
    <xf numFmtId="165" fontId="0" fillId="0" borderId="0" xfId="1" quotePrefix="1" applyFont="1"/>
    <xf numFmtId="177" fontId="0" fillId="0" borderId="0" xfId="1" applyNumberFormat="1" applyFont="1"/>
    <xf numFmtId="177" fontId="0" fillId="0" borderId="0" xfId="1" applyNumberFormat="1" applyFont="1" applyFill="1"/>
    <xf numFmtId="177" fontId="7" fillId="0" borderId="0" xfId="1" applyNumberFormat="1" applyFont="1" applyFill="1"/>
    <xf numFmtId="165" fontId="23" fillId="5" borderId="76" xfId="1" applyFont="1" applyFill="1" applyBorder="1" applyAlignment="1">
      <alignment vertical="center" wrapText="1"/>
    </xf>
    <xf numFmtId="177" fontId="0" fillId="0" borderId="103" xfId="1" applyNumberFormat="1" applyFont="1" applyBorder="1"/>
    <xf numFmtId="177" fontId="49" fillId="0" borderId="103" xfId="1" applyNumberFormat="1" applyFont="1" applyBorder="1"/>
    <xf numFmtId="0" fontId="50" fillId="0" borderId="0" xfId="0" applyFont="1"/>
    <xf numFmtId="177" fontId="50" fillId="0" borderId="0" xfId="1" applyNumberFormat="1" applyFont="1" applyAlignment="1">
      <alignment horizontal="left"/>
    </xf>
    <xf numFmtId="0" fontId="0" fillId="0" borderId="0" xfId="0" applyAlignment="1">
      <alignment horizontal="left"/>
    </xf>
    <xf numFmtId="0" fontId="0" fillId="26" borderId="0" xfId="0" applyFill="1"/>
    <xf numFmtId="177" fontId="0" fillId="26" borderId="0" xfId="1" applyNumberFormat="1" applyFont="1" applyFill="1"/>
    <xf numFmtId="177" fontId="7" fillId="0" borderId="0" xfId="1" applyNumberFormat="1" applyFont="1" applyAlignment="1">
      <alignment horizontal="left"/>
    </xf>
    <xf numFmtId="0" fontId="0" fillId="0" borderId="0" xfId="0" applyAlignment="1">
      <alignment vertical="top" wrapText="1"/>
    </xf>
    <xf numFmtId="0" fontId="0" fillId="0" borderId="0" xfId="0" applyFill="1" applyAlignment="1">
      <alignment wrapText="1"/>
    </xf>
    <xf numFmtId="0" fontId="0" fillId="0" borderId="27" xfId="0" applyFont="1" applyBorder="1"/>
    <xf numFmtId="177" fontId="0" fillId="0" borderId="40" xfId="0" applyNumberFormat="1" applyFont="1" applyBorder="1"/>
    <xf numFmtId="177" fontId="0" fillId="0" borderId="36" xfId="0" applyNumberFormat="1" applyFont="1" applyBorder="1"/>
    <xf numFmtId="0" fontId="0" fillId="0" borderId="59" xfId="0" applyFont="1" applyBorder="1"/>
    <xf numFmtId="177" fontId="0" fillId="0" borderId="54" xfId="1" applyNumberFormat="1" applyFont="1" applyBorder="1"/>
    <xf numFmtId="177" fontId="0" fillId="0" borderId="52" xfId="1" applyNumberFormat="1" applyFont="1" applyBorder="1"/>
    <xf numFmtId="177" fontId="0" fillId="0" borderId="0" xfId="1" applyNumberFormat="1" applyFont="1" applyBorder="1"/>
    <xf numFmtId="177" fontId="0" fillId="0" borderId="40" xfId="1" applyNumberFormat="1" applyFont="1" applyBorder="1"/>
    <xf numFmtId="177" fontId="0" fillId="0" borderId="34" xfId="1" applyNumberFormat="1" applyFont="1" applyBorder="1"/>
    <xf numFmtId="177" fontId="0" fillId="0" borderId="36" xfId="1" applyNumberFormat="1" applyFont="1" applyBorder="1"/>
    <xf numFmtId="177" fontId="0" fillId="0" borderId="58" xfId="1" applyNumberFormat="1" applyFont="1" applyBorder="1"/>
    <xf numFmtId="177" fontId="0" fillId="0" borderId="59" xfId="1" applyNumberFormat="1" applyFont="1" applyBorder="1"/>
    <xf numFmtId="177" fontId="0" fillId="0" borderId="42" xfId="1" applyNumberFormat="1" applyFont="1" applyBorder="1"/>
    <xf numFmtId="0" fontId="0" fillId="0" borderId="42" xfId="0" applyFont="1" applyBorder="1"/>
    <xf numFmtId="165" fontId="0" fillId="0" borderId="0" xfId="1" applyFont="1" applyBorder="1"/>
    <xf numFmtId="0" fontId="7" fillId="0" borderId="83" xfId="0" applyFont="1" applyBorder="1"/>
    <xf numFmtId="0" fontId="0" fillId="0" borderId="0" xfId="0" applyBorder="1" applyAlignment="1">
      <alignment horizontal="center" wrapText="1"/>
    </xf>
    <xf numFmtId="0" fontId="0" fillId="0" borderId="0" xfId="0" quotePrefix="1" applyBorder="1" applyAlignment="1">
      <alignment horizontal="center"/>
    </xf>
    <xf numFmtId="0" fontId="0" fillId="0" borderId="0" xfId="0" applyBorder="1" applyAlignment="1">
      <alignment horizontal="center"/>
    </xf>
    <xf numFmtId="0" fontId="0" fillId="0" borderId="58" xfId="0" applyFont="1" applyBorder="1"/>
    <xf numFmtId="177" fontId="0" fillId="0" borderId="59" xfId="0" applyNumberFormat="1" applyBorder="1"/>
    <xf numFmtId="0" fontId="0" fillId="0" borderId="42" xfId="0" applyBorder="1" applyAlignment="1">
      <alignment wrapText="1"/>
    </xf>
    <xf numFmtId="0" fontId="0" fillId="0" borderId="42" xfId="0" applyFont="1" applyBorder="1" applyAlignment="1">
      <alignment wrapText="1"/>
    </xf>
    <xf numFmtId="177" fontId="6" fillId="0" borderId="0" xfId="1" applyNumberFormat="1" applyFont="1" applyFill="1"/>
    <xf numFmtId="165" fontId="23" fillId="5" borderId="79" xfId="1" applyFont="1" applyFill="1" applyBorder="1" applyAlignment="1">
      <alignment horizontal="center" vertical="center" wrapText="1"/>
    </xf>
    <xf numFmtId="165" fontId="23" fillId="5" borderId="78" xfId="1" applyFont="1" applyFill="1" applyBorder="1" applyAlignment="1">
      <alignment horizontal="center" vertical="center" wrapText="1"/>
    </xf>
    <xf numFmtId="165" fontId="24" fillId="0" borderId="57" xfId="1" applyFont="1" applyBorder="1" applyAlignment="1">
      <alignment vertical="top"/>
    </xf>
    <xf numFmtId="165" fontId="24" fillId="0" borderId="83" xfId="1" applyFont="1" applyBorder="1" applyAlignment="1">
      <alignment vertical="center"/>
    </xf>
    <xf numFmtId="165" fontId="24" fillId="0" borderId="54" xfId="1" applyFont="1" applyBorder="1" applyAlignment="1">
      <alignment vertical="center"/>
    </xf>
    <xf numFmtId="165" fontId="0" fillId="0" borderId="54" xfId="1" applyFont="1" applyBorder="1"/>
    <xf numFmtId="165" fontId="0" fillId="0" borderId="52" xfId="1" applyFont="1" applyBorder="1"/>
    <xf numFmtId="165" fontId="0" fillId="0" borderId="27" xfId="1" applyFont="1" applyBorder="1"/>
    <xf numFmtId="165" fontId="24" fillId="0" borderId="0" xfId="1" applyFont="1" applyBorder="1" applyAlignment="1">
      <alignment vertical="center"/>
    </xf>
    <xf numFmtId="165" fontId="0" fillId="0" borderId="40" xfId="1" applyFont="1" applyBorder="1"/>
    <xf numFmtId="165" fontId="25" fillId="0" borderId="27" xfId="1" applyFont="1" applyBorder="1" applyAlignment="1">
      <alignment vertical="center"/>
    </xf>
    <xf numFmtId="165" fontId="0" fillId="0" borderId="37" xfId="1" applyFont="1" applyBorder="1"/>
    <xf numFmtId="165" fontId="26" fillId="0" borderId="34" xfId="1" applyFont="1" applyBorder="1" applyAlignment="1">
      <alignment vertical="center"/>
    </xf>
    <xf numFmtId="165" fontId="0" fillId="0" borderId="36" xfId="1" applyFont="1" applyBorder="1"/>
    <xf numFmtId="165" fontId="0" fillId="0" borderId="83" xfId="1" applyFont="1" applyBorder="1"/>
    <xf numFmtId="165" fontId="26" fillId="0" borderId="54" xfId="1" applyFont="1" applyBorder="1"/>
    <xf numFmtId="165" fontId="24" fillId="0" borderId="27" xfId="1" applyFont="1" applyBorder="1" applyAlignment="1">
      <alignment vertical="center"/>
    </xf>
    <xf numFmtId="165" fontId="23" fillId="5" borderId="118" xfId="1" applyFont="1" applyFill="1" applyBorder="1" applyAlignment="1">
      <alignment vertical="center" wrapText="1"/>
    </xf>
    <xf numFmtId="165" fontId="23" fillId="5" borderId="119" xfId="1" applyFont="1" applyFill="1" applyBorder="1" applyAlignment="1">
      <alignment vertical="center" wrapText="1"/>
    </xf>
    <xf numFmtId="165" fontId="23" fillId="5" borderId="120" xfId="1" applyFont="1" applyFill="1" applyBorder="1" applyAlignment="1">
      <alignment horizontal="center" vertical="center" wrapText="1"/>
    </xf>
    <xf numFmtId="165" fontId="23" fillId="5" borderId="121" xfId="1" applyFont="1" applyFill="1" applyBorder="1" applyAlignment="1">
      <alignment horizontal="center" vertical="center" wrapText="1"/>
    </xf>
    <xf numFmtId="179" fontId="0" fillId="0" borderId="34" xfId="1" applyNumberFormat="1" applyFont="1" applyBorder="1"/>
    <xf numFmtId="165" fontId="7" fillId="0" borderId="41" xfId="1" applyFont="1" applyBorder="1"/>
    <xf numFmtId="165" fontId="0" fillId="0" borderId="41" xfId="1" applyFont="1" applyBorder="1"/>
    <xf numFmtId="165" fontId="0" fillId="0" borderId="60" xfId="1" applyFont="1" applyBorder="1"/>
    <xf numFmtId="165" fontId="0" fillId="0" borderId="1" xfId="1" applyFont="1" applyBorder="1"/>
    <xf numFmtId="165" fontId="0" fillId="0" borderId="0" xfId="1" applyFont="1" applyAlignment="1">
      <alignment wrapText="1"/>
    </xf>
    <xf numFmtId="165" fontId="0" fillId="0" borderId="0" xfId="1" applyFont="1" applyBorder="1" applyAlignment="1">
      <alignment wrapText="1"/>
    </xf>
    <xf numFmtId="0" fontId="33" fillId="0" borderId="0" xfId="0" applyFont="1" applyFill="1" applyAlignment="1">
      <alignment wrapText="1"/>
    </xf>
    <xf numFmtId="2" fontId="8" fillId="0" borderId="0" xfId="0" applyNumberFormat="1" applyFont="1" applyFill="1" applyBorder="1"/>
    <xf numFmtId="3" fontId="8" fillId="0" borderId="52" xfId="0" applyNumberFormat="1" applyFont="1" applyBorder="1"/>
    <xf numFmtId="0" fontId="33" fillId="0" borderId="40" xfId="0" applyFont="1" applyBorder="1" applyAlignment="1">
      <alignment wrapText="1"/>
    </xf>
    <xf numFmtId="0" fontId="59" fillId="0" borderId="37" xfId="0" applyFont="1" applyBorder="1"/>
    <xf numFmtId="0" fontId="60" fillId="0" borderId="0" xfId="0" applyFont="1"/>
    <xf numFmtId="0" fontId="58" fillId="27" borderId="0" xfId="0" applyFont="1" applyFill="1"/>
    <xf numFmtId="0" fontId="13" fillId="10" borderId="0" xfId="0" applyFont="1" applyFill="1" applyBorder="1" applyAlignment="1">
      <alignment horizontal="right" wrapText="1"/>
    </xf>
    <xf numFmtId="0" fontId="13" fillId="11" borderId="27" xfId="0" applyFont="1" applyFill="1" applyBorder="1" applyAlignment="1">
      <alignment horizontal="right" wrapText="1"/>
    </xf>
    <xf numFmtId="0" fontId="13" fillId="11" borderId="0" xfId="0" applyFont="1" applyFill="1" applyBorder="1" applyAlignment="1">
      <alignment horizontal="right" wrapText="1"/>
    </xf>
    <xf numFmtId="0" fontId="13" fillId="11" borderId="40" xfId="0" applyFont="1" applyFill="1" applyBorder="1" applyAlignment="1">
      <alignment horizontal="right" wrapText="1"/>
    </xf>
    <xf numFmtId="0" fontId="0" fillId="0" borderId="0" xfId="0" applyAlignment="1">
      <alignment vertical="top" wrapText="1"/>
    </xf>
    <xf numFmtId="3" fontId="61" fillId="14" borderId="90" xfId="0" applyNumberFormat="1" applyFont="1" applyFill="1" applyBorder="1"/>
    <xf numFmtId="0" fontId="62" fillId="0" borderId="0" xfId="0" applyFont="1"/>
    <xf numFmtId="0" fontId="57" fillId="0" borderId="0" xfId="0" applyFont="1"/>
    <xf numFmtId="165" fontId="57" fillId="0" borderId="103" xfId="1" applyFont="1" applyBorder="1"/>
    <xf numFmtId="165" fontId="57" fillId="0" borderId="0" xfId="1" applyFont="1"/>
    <xf numFmtId="165" fontId="57" fillId="0" borderId="0" xfId="1" applyNumberFormat="1" applyFont="1"/>
    <xf numFmtId="165" fontId="57" fillId="0" borderId="103" xfId="1" applyNumberFormat="1" applyFont="1" applyBorder="1"/>
    <xf numFmtId="0" fontId="62" fillId="0" borderId="0" xfId="0" applyFont="1" applyBorder="1"/>
    <xf numFmtId="165" fontId="57" fillId="0" borderId="0" xfId="1" applyFont="1" applyBorder="1"/>
    <xf numFmtId="165" fontId="57" fillId="0" borderId="0" xfId="1" applyNumberFormat="1" applyFont="1" applyBorder="1"/>
    <xf numFmtId="0" fontId="57" fillId="0" borderId="0" xfId="0" applyFont="1" applyBorder="1"/>
    <xf numFmtId="0" fontId="57" fillId="0" borderId="57" xfId="0" applyFont="1" applyBorder="1"/>
    <xf numFmtId="0" fontId="57" fillId="0" borderId="58" xfId="0" applyFont="1" applyBorder="1"/>
    <xf numFmtId="0" fontId="62" fillId="0" borderId="57" xfId="0" applyFont="1" applyBorder="1"/>
    <xf numFmtId="0" fontId="57" fillId="0" borderId="59" xfId="0" applyFont="1" applyBorder="1"/>
    <xf numFmtId="0" fontId="57" fillId="0" borderId="83" xfId="0" applyFont="1" applyBorder="1"/>
    <xf numFmtId="0" fontId="57" fillId="0" borderId="54" xfId="0" applyFont="1" applyBorder="1"/>
    <xf numFmtId="3" fontId="57" fillId="0" borderId="54" xfId="0" applyNumberFormat="1" applyFont="1" applyBorder="1"/>
    <xf numFmtId="3" fontId="57" fillId="0" borderId="52" xfId="0" applyNumberFormat="1" applyFont="1" applyBorder="1"/>
    <xf numFmtId="0" fontId="57" fillId="0" borderId="27" xfId="0" applyFont="1" applyBorder="1"/>
    <xf numFmtId="3" fontId="57" fillId="0" borderId="0" xfId="0" applyNumberFormat="1" applyFont="1" applyBorder="1"/>
    <xf numFmtId="3" fontId="57" fillId="0" borderId="40" xfId="0" applyNumberFormat="1" applyFont="1" applyBorder="1"/>
    <xf numFmtId="0" fontId="62" fillId="0" borderId="1" xfId="0" applyFont="1" applyBorder="1"/>
    <xf numFmtId="0" fontId="62" fillId="0" borderId="58" xfId="0" applyFont="1" applyBorder="1" applyAlignment="1">
      <alignment horizontal="center" wrapText="1"/>
    </xf>
    <xf numFmtId="0" fontId="57" fillId="0" borderId="0" xfId="0" applyFont="1" applyBorder="1" applyAlignment="1">
      <alignment horizontal="center"/>
    </xf>
    <xf numFmtId="0" fontId="57" fillId="0" borderId="0" xfId="0" quotePrefix="1" applyFont="1" applyBorder="1" applyAlignment="1">
      <alignment horizontal="center"/>
    </xf>
    <xf numFmtId="0" fontId="57" fillId="0" borderId="42" xfId="0" applyFont="1" applyBorder="1" applyAlignment="1">
      <alignment wrapText="1"/>
    </xf>
    <xf numFmtId="0" fontId="57" fillId="0" borderId="0" xfId="0" applyFont="1" applyBorder="1" applyAlignment="1">
      <alignment horizontal="center" wrapText="1"/>
    </xf>
    <xf numFmtId="3" fontId="57" fillId="0" borderId="0" xfId="0" applyNumberFormat="1" applyFont="1"/>
    <xf numFmtId="0" fontId="57" fillId="0" borderId="37" xfId="0" applyFont="1" applyBorder="1"/>
    <xf numFmtId="0" fontId="57" fillId="0" borderId="34" xfId="0" applyFont="1" applyBorder="1"/>
    <xf numFmtId="3" fontId="57" fillId="0" borderId="34" xfId="0" applyNumberFormat="1" applyFont="1" applyBorder="1"/>
    <xf numFmtId="0" fontId="57" fillId="0" borderId="52" xfId="0" applyFont="1" applyBorder="1"/>
    <xf numFmtId="0" fontId="57" fillId="0" borderId="27" xfId="0" applyFont="1" applyBorder="1" applyAlignment="1">
      <alignment horizontal="center"/>
    </xf>
    <xf numFmtId="0" fontId="57" fillId="0" borderId="40" xfId="0" applyFont="1" applyBorder="1"/>
    <xf numFmtId="0" fontId="57" fillId="0" borderId="37" xfId="0" applyFont="1" applyBorder="1" applyAlignment="1">
      <alignment horizontal="center"/>
    </xf>
    <xf numFmtId="0" fontId="57" fillId="0" borderId="34" xfId="0" applyFont="1" applyBorder="1" applyAlignment="1">
      <alignment horizontal="center"/>
    </xf>
    <xf numFmtId="177" fontId="57" fillId="0" borderId="0" xfId="1" applyNumberFormat="1" applyFont="1" applyBorder="1"/>
    <xf numFmtId="177" fontId="57" fillId="0" borderId="40" xfId="1" applyNumberFormat="1" applyFont="1" applyBorder="1"/>
    <xf numFmtId="177" fontId="57" fillId="0" borderId="34" xfId="1" applyNumberFormat="1" applyFont="1" applyBorder="1"/>
    <xf numFmtId="177" fontId="57" fillId="0" borderId="36" xfId="1" applyNumberFormat="1" applyFont="1" applyBorder="1"/>
    <xf numFmtId="177" fontId="57" fillId="0" borderId="58" xfId="1" applyNumberFormat="1" applyFont="1" applyBorder="1"/>
    <xf numFmtId="0" fontId="62" fillId="0" borderId="58" xfId="0" applyFont="1" applyBorder="1" applyAlignment="1">
      <alignment horizontal="right" wrapText="1"/>
    </xf>
    <xf numFmtId="0" fontId="62" fillId="0" borderId="59" xfId="0" applyFont="1" applyBorder="1" applyAlignment="1">
      <alignment horizontal="right" wrapText="1"/>
    </xf>
    <xf numFmtId="177" fontId="57" fillId="0" borderId="59" xfId="1" applyNumberFormat="1" applyFont="1" applyBorder="1"/>
    <xf numFmtId="0" fontId="62" fillId="0" borderId="103" xfId="0" applyFont="1" applyBorder="1" applyAlignment="1">
      <alignment horizontal="right"/>
    </xf>
    <xf numFmtId="165" fontId="62" fillId="0" borderId="103" xfId="1" applyNumberFormat="1" applyFont="1" applyBorder="1" applyAlignment="1">
      <alignment horizontal="right"/>
    </xf>
    <xf numFmtId="165" fontId="62" fillId="0" borderId="103" xfId="1" applyNumberFormat="1" applyFont="1" applyBorder="1" applyAlignment="1">
      <alignment horizontal="right" wrapText="1"/>
    </xf>
    <xf numFmtId="0" fontId="62" fillId="0" borderId="57" xfId="0" applyFont="1" applyBorder="1" applyAlignment="1">
      <alignment horizontal="center" wrapText="1"/>
    </xf>
    <xf numFmtId="177" fontId="57" fillId="0" borderId="0" xfId="0" applyNumberFormat="1" applyFont="1"/>
    <xf numFmtId="3" fontId="0" fillId="0" borderId="0" xfId="0" applyNumberFormat="1" applyFill="1"/>
    <xf numFmtId="0" fontId="0" fillId="0" borderId="0" xfId="0" applyFill="1" applyAlignment="1">
      <alignment horizontal="right"/>
    </xf>
    <xf numFmtId="0" fontId="7" fillId="0" borderId="0" xfId="0" applyFont="1" applyFill="1" applyBorder="1" applyAlignment="1">
      <alignment horizontal="right"/>
    </xf>
    <xf numFmtId="3" fontId="0" fillId="0" borderId="0" xfId="0" applyNumberFormat="1" applyFill="1" applyBorder="1"/>
    <xf numFmtId="3" fontId="44" fillId="0" borderId="0" xfId="0" applyNumberFormat="1" applyFont="1" applyFill="1" applyBorder="1"/>
    <xf numFmtId="0" fontId="0" fillId="0" borderId="0" xfId="0" applyFill="1" applyBorder="1" applyAlignment="1">
      <alignment wrapText="1"/>
    </xf>
    <xf numFmtId="0" fontId="0" fillId="0" borderId="54" xfId="0" applyFill="1" applyBorder="1"/>
    <xf numFmtId="0" fontId="0" fillId="0" borderId="52" xfId="0" applyFill="1" applyBorder="1"/>
    <xf numFmtId="0" fontId="0" fillId="0" borderId="0" xfId="0" applyFill="1" applyBorder="1" applyAlignment="1">
      <alignment horizontal="right"/>
    </xf>
    <xf numFmtId="0" fontId="0" fillId="0" borderId="40" xfId="0" applyFill="1" applyBorder="1" applyAlignment="1">
      <alignment horizontal="right"/>
    </xf>
    <xf numFmtId="3" fontId="0" fillId="0" borderId="40" xfId="0" applyNumberFormat="1" applyFill="1" applyBorder="1"/>
    <xf numFmtId="3" fontId="0" fillId="0" borderId="34" xfId="0" applyNumberFormat="1" applyFill="1" applyBorder="1"/>
    <xf numFmtId="3" fontId="0" fillId="0" borderId="36" xfId="0" applyNumberFormat="1" applyFill="1" applyBorder="1"/>
    <xf numFmtId="179" fontId="57" fillId="0" borderId="103" xfId="1" applyNumberFormat="1" applyFont="1" applyFill="1" applyBorder="1"/>
    <xf numFmtId="0" fontId="62" fillId="0" borderId="99" xfId="0" applyFont="1" applyBorder="1"/>
    <xf numFmtId="165" fontId="57" fillId="0" borderId="104" xfId="1" applyFont="1" applyBorder="1"/>
    <xf numFmtId="165" fontId="57" fillId="0" borderId="104" xfId="1" applyNumberFormat="1" applyFont="1" applyBorder="1"/>
    <xf numFmtId="165" fontId="57" fillId="0" borderId="104" xfId="1" applyNumberFormat="1" applyFont="1" applyFill="1" applyBorder="1"/>
    <xf numFmtId="165" fontId="57" fillId="0" borderId="105" xfId="1" applyNumberFormat="1" applyFont="1" applyBorder="1"/>
    <xf numFmtId="0" fontId="62" fillId="0" borderId="123" xfId="0" applyFont="1" applyBorder="1" applyAlignment="1">
      <alignment wrapText="1"/>
    </xf>
    <xf numFmtId="165" fontId="62" fillId="0" borderId="106" xfId="1" applyNumberFormat="1" applyFont="1" applyBorder="1" applyAlignment="1">
      <alignment horizontal="right" wrapText="1"/>
    </xf>
    <xf numFmtId="0" fontId="57" fillId="0" borderId="123" xfId="0" applyFont="1" applyBorder="1"/>
    <xf numFmtId="165" fontId="57" fillId="0" borderId="106" xfId="1" applyNumberFormat="1" applyFont="1" applyBorder="1"/>
    <xf numFmtId="0" fontId="62" fillId="0" borderId="124" xfId="0" applyFont="1" applyBorder="1"/>
    <xf numFmtId="165" fontId="62" fillId="0" borderId="107" xfId="1" applyFont="1" applyBorder="1"/>
    <xf numFmtId="165" fontId="62" fillId="0" borderId="107" xfId="1" applyNumberFormat="1" applyFont="1" applyBorder="1"/>
    <xf numFmtId="179" fontId="62" fillId="0" borderId="107" xfId="1" applyNumberFormat="1" applyFont="1" applyFill="1" applyBorder="1"/>
    <xf numFmtId="165" fontId="62" fillId="0" borderId="108" xfId="1" applyNumberFormat="1" applyFont="1" applyBorder="1"/>
    <xf numFmtId="0" fontId="57" fillId="0" borderId="104" xfId="0" applyFont="1" applyBorder="1"/>
    <xf numFmtId="0" fontId="57" fillId="0" borderId="105" xfId="0" applyFont="1" applyBorder="1"/>
    <xf numFmtId="2" fontId="57" fillId="3" borderId="103" xfId="0" applyNumberFormat="1" applyFont="1" applyFill="1" applyBorder="1"/>
    <xf numFmtId="2" fontId="62" fillId="3" borderId="107" xfId="0" applyNumberFormat="1" applyFont="1" applyFill="1" applyBorder="1"/>
    <xf numFmtId="165" fontId="57" fillId="3" borderId="103" xfId="1" applyFont="1" applyFill="1" applyBorder="1"/>
    <xf numFmtId="165" fontId="62" fillId="3" borderId="107" xfId="1" applyFont="1" applyFill="1" applyBorder="1"/>
    <xf numFmtId="165" fontId="57" fillId="3" borderId="106" xfId="1" applyNumberFormat="1" applyFont="1" applyFill="1" applyBorder="1"/>
    <xf numFmtId="165" fontId="62" fillId="3" borderId="108" xfId="1" applyNumberFormat="1" applyFont="1" applyFill="1" applyBorder="1"/>
    <xf numFmtId="0" fontId="62" fillId="0" borderId="103" xfId="0" applyFont="1" applyBorder="1" applyAlignment="1">
      <alignment horizontal="right" wrapText="1"/>
    </xf>
    <xf numFmtId="177" fontId="57" fillId="3" borderId="106" xfId="1" applyNumberFormat="1" applyFont="1" applyFill="1" applyBorder="1"/>
    <xf numFmtId="177" fontId="62" fillId="3" borderId="108" xfId="1" applyNumberFormat="1" applyFont="1" applyFill="1" applyBorder="1"/>
    <xf numFmtId="0" fontId="0" fillId="0" borderId="3" xfId="0" applyFont="1" applyBorder="1"/>
    <xf numFmtId="0" fontId="0" fillId="0" borderId="4" xfId="0" applyFont="1" applyBorder="1"/>
    <xf numFmtId="0" fontId="64" fillId="0" borderId="0" xfId="0" applyFont="1"/>
    <xf numFmtId="0" fontId="64" fillId="5" borderId="72" xfId="0" applyFont="1" applyFill="1" applyBorder="1" applyAlignment="1">
      <alignment wrapText="1"/>
    </xf>
    <xf numFmtId="0" fontId="64" fillId="5" borderId="73" xfId="0" applyFont="1" applyFill="1" applyBorder="1" applyAlignment="1">
      <alignment wrapText="1"/>
    </xf>
    <xf numFmtId="0" fontId="64" fillId="5" borderId="74" xfId="0" applyFont="1" applyFill="1" applyBorder="1" applyAlignment="1">
      <alignment horizontal="center" wrapText="1"/>
    </xf>
    <xf numFmtId="0" fontId="64" fillId="5" borderId="73" xfId="0" applyFont="1" applyFill="1" applyBorder="1" applyAlignment="1">
      <alignment horizontal="center" wrapText="1"/>
    </xf>
    <xf numFmtId="0" fontId="64" fillId="5" borderId="80" xfId="0" applyFont="1" applyFill="1" applyBorder="1" applyAlignment="1">
      <alignment vertical="top" wrapText="1"/>
    </xf>
    <xf numFmtId="0" fontId="64" fillId="5" borderId="77" xfId="0" applyFont="1" applyFill="1" applyBorder="1" applyAlignment="1">
      <alignment vertical="top" wrapText="1"/>
    </xf>
    <xf numFmtId="177" fontId="64" fillId="3" borderId="39" xfId="1" applyNumberFormat="1" applyFont="1" applyFill="1" applyBorder="1" applyAlignment="1">
      <alignment horizontal="right" wrapText="1"/>
    </xf>
    <xf numFmtId="0" fontId="64" fillId="5" borderId="39" xfId="0" applyFont="1" applyFill="1" applyBorder="1" applyAlignment="1">
      <alignment horizontal="right" wrapText="1"/>
    </xf>
    <xf numFmtId="0" fontId="64" fillId="5" borderId="77" xfId="0" applyFont="1" applyFill="1" applyBorder="1" applyAlignment="1">
      <alignment horizontal="right" wrapText="1"/>
    </xf>
    <xf numFmtId="0" fontId="64" fillId="5" borderId="76" xfId="0" applyFont="1" applyFill="1" applyBorder="1" applyAlignment="1">
      <alignment vertical="top" wrapText="1"/>
    </xf>
    <xf numFmtId="177" fontId="64" fillId="5" borderId="39" xfId="1" applyNumberFormat="1" applyFont="1" applyFill="1" applyBorder="1" applyAlignment="1">
      <alignment horizontal="right" wrapText="1"/>
    </xf>
    <xf numFmtId="177" fontId="64" fillId="5" borderId="79" xfId="1" applyNumberFormat="1" applyFont="1" applyFill="1" applyBorder="1" applyAlignment="1">
      <alignment horizontal="right" wrapText="1"/>
    </xf>
    <xf numFmtId="0" fontId="64" fillId="5" borderId="79" xfId="0" applyFont="1" applyFill="1" applyBorder="1" applyAlignment="1">
      <alignment horizontal="right" wrapText="1"/>
    </xf>
    <xf numFmtId="0" fontId="64" fillId="5" borderId="78" xfId="0" applyFont="1" applyFill="1" applyBorder="1" applyAlignment="1">
      <alignment horizontal="right" wrapText="1"/>
    </xf>
    <xf numFmtId="0" fontId="65" fillId="5" borderId="104" xfId="0" applyFont="1" applyFill="1" applyBorder="1" applyAlignment="1">
      <alignment vertical="top" wrapText="1"/>
    </xf>
    <xf numFmtId="0" fontId="65" fillId="5" borderId="105" xfId="0" applyFont="1" applyFill="1" applyBorder="1" applyAlignment="1">
      <alignment horizontal="right" wrapText="1"/>
    </xf>
    <xf numFmtId="0" fontId="65" fillId="5" borderId="103" xfId="0" applyFont="1" applyFill="1" applyBorder="1" applyAlignment="1">
      <alignment vertical="top" wrapText="1"/>
    </xf>
    <xf numFmtId="0" fontId="65" fillId="5" borderId="106" xfId="0" applyFont="1" applyFill="1" applyBorder="1" applyAlignment="1">
      <alignment horizontal="right" wrapText="1"/>
    </xf>
    <xf numFmtId="0" fontId="66" fillId="3" borderId="106" xfId="0" applyFont="1" applyFill="1" applyBorder="1" applyAlignment="1">
      <alignment horizontal="right" wrapText="1"/>
    </xf>
    <xf numFmtId="0" fontId="65" fillId="5" borderId="108" xfId="0" applyFont="1" applyFill="1" applyBorder="1" applyAlignment="1">
      <alignment horizontal="right" wrapText="1"/>
    </xf>
    <xf numFmtId="0" fontId="65" fillId="0" borderId="17" xfId="0" applyFont="1" applyBorder="1"/>
    <xf numFmtId="0" fontId="65" fillId="5" borderId="18" xfId="0" applyFont="1" applyFill="1" applyBorder="1" applyAlignment="1">
      <alignment wrapText="1"/>
    </xf>
    <xf numFmtId="0" fontId="65" fillId="5" borderId="7" xfId="0" applyFont="1" applyFill="1" applyBorder="1" applyAlignment="1">
      <alignment horizontal="center" wrapText="1"/>
    </xf>
    <xf numFmtId="0" fontId="65" fillId="5" borderId="8" xfId="0" applyFont="1" applyFill="1" applyBorder="1" applyAlignment="1">
      <alignment horizontal="center" wrapText="1"/>
    </xf>
    <xf numFmtId="0" fontId="65" fillId="5" borderId="123" xfId="0" applyFont="1" applyFill="1" applyBorder="1" applyAlignment="1">
      <alignment horizontal="center" vertical="top" wrapText="1"/>
    </xf>
    <xf numFmtId="180" fontId="65" fillId="3" borderId="103" xfId="0" applyNumberFormat="1" applyFont="1" applyFill="1" applyBorder="1" applyAlignment="1">
      <alignment horizontal="right" wrapText="1"/>
    </xf>
    <xf numFmtId="0" fontId="65" fillId="5" borderId="103" xfId="0" applyFont="1" applyFill="1" applyBorder="1" applyAlignment="1">
      <alignment horizontal="right" wrapText="1"/>
    </xf>
    <xf numFmtId="0" fontId="65" fillId="5" borderId="124" xfId="0" applyFont="1" applyFill="1" applyBorder="1" applyAlignment="1">
      <alignment vertical="top" wrapText="1"/>
    </xf>
    <xf numFmtId="180" fontId="66" fillId="3" borderId="107" xfId="0" applyNumberFormat="1" applyFont="1" applyFill="1" applyBorder="1" applyAlignment="1">
      <alignment horizontal="right" wrapText="1"/>
    </xf>
    <xf numFmtId="0" fontId="65" fillId="5" borderId="107" xfId="0" applyFont="1" applyFill="1" applyBorder="1" applyAlignment="1">
      <alignment horizontal="right" wrapText="1"/>
    </xf>
    <xf numFmtId="177" fontId="57" fillId="17" borderId="106" xfId="1" applyNumberFormat="1" applyFont="1" applyFill="1" applyBorder="1"/>
    <xf numFmtId="165" fontId="57" fillId="17" borderId="103" xfId="1" applyFont="1" applyFill="1" applyBorder="1"/>
    <xf numFmtId="177" fontId="57" fillId="0" borderId="103" xfId="1" applyNumberFormat="1" applyFont="1" applyFill="1" applyBorder="1"/>
    <xf numFmtId="177" fontId="62" fillId="0" borderId="107" xfId="1" applyNumberFormat="1" applyFont="1" applyFill="1" applyBorder="1"/>
    <xf numFmtId="177" fontId="57" fillId="3" borderId="106" xfId="0" applyNumberFormat="1" applyFont="1" applyFill="1" applyBorder="1"/>
    <xf numFmtId="0" fontId="62" fillId="17" borderId="0" xfId="0" applyFont="1" applyFill="1"/>
    <xf numFmtId="177" fontId="62" fillId="17" borderId="40" xfId="1" applyNumberFormat="1" applyFont="1" applyFill="1" applyBorder="1"/>
    <xf numFmtId="0" fontId="62" fillId="0" borderId="106" xfId="0" applyFont="1" applyBorder="1" applyAlignment="1">
      <alignment horizontal="right" wrapText="1"/>
    </xf>
    <xf numFmtId="0" fontId="62" fillId="0" borderId="0" xfId="0" applyFont="1" applyAlignment="1">
      <alignment horizontal="right"/>
    </xf>
    <xf numFmtId="0" fontId="41" fillId="0" borderId="0" xfId="0" applyFont="1" applyAlignment="1">
      <alignment vertical="top"/>
    </xf>
    <xf numFmtId="0" fontId="51" fillId="0" borderId="0" xfId="0" applyFont="1" applyFill="1" applyBorder="1" applyAlignment="1">
      <alignment vertical="top" wrapText="1"/>
    </xf>
    <xf numFmtId="0" fontId="0" fillId="0" borderId="0" xfId="0" applyFill="1" applyBorder="1" applyAlignment="1">
      <alignment vertical="top" wrapText="1"/>
    </xf>
    <xf numFmtId="0" fontId="0" fillId="10" borderId="83" xfId="0" applyFill="1" applyBorder="1"/>
    <xf numFmtId="0" fontId="13" fillId="10" borderId="54" xfId="0" applyFont="1" applyFill="1" applyBorder="1" applyAlignment="1">
      <alignment horizontal="right"/>
    </xf>
    <xf numFmtId="0" fontId="13" fillId="10" borderId="52" xfId="0" applyFont="1" applyFill="1" applyBorder="1" applyAlignment="1">
      <alignment horizontal="right"/>
    </xf>
    <xf numFmtId="0" fontId="0" fillId="10" borderId="37" xfId="0" applyFill="1" applyBorder="1" applyAlignment="1">
      <alignment horizontal="left"/>
    </xf>
    <xf numFmtId="0" fontId="0" fillId="10" borderId="34" xfId="0" applyFill="1" applyBorder="1"/>
    <xf numFmtId="0" fontId="0" fillId="10" borderId="36" xfId="0" applyFill="1" applyBorder="1"/>
    <xf numFmtId="0" fontId="0" fillId="0" borderId="40" xfId="0" quotePrefix="1" applyBorder="1" applyAlignment="1">
      <alignment horizontal="right"/>
    </xf>
    <xf numFmtId="181" fontId="0" fillId="10" borderId="34" xfId="595" applyNumberFormat="1" applyFont="1" applyFill="1" applyBorder="1"/>
    <xf numFmtId="181" fontId="0" fillId="10" borderId="0" xfId="595" applyNumberFormat="1" applyFont="1" applyFill="1" applyBorder="1"/>
    <xf numFmtId="181" fontId="0" fillId="11" borderId="34" xfId="595" applyNumberFormat="1" applyFont="1" applyFill="1" applyBorder="1"/>
    <xf numFmtId="181" fontId="0" fillId="10" borderId="34" xfId="595" applyNumberFormat="1" applyFont="1" applyFill="1" applyBorder="1" applyAlignment="1">
      <alignment vertical="top"/>
    </xf>
    <xf numFmtId="181" fontId="0" fillId="11" borderId="0" xfId="595" applyNumberFormat="1" applyFont="1" applyFill="1" applyBorder="1"/>
    <xf numFmtId="181" fontId="0" fillId="11" borderId="34" xfId="595" applyNumberFormat="1" applyFont="1" applyFill="1" applyBorder="1" applyAlignment="1">
      <alignment vertical="top"/>
    </xf>
    <xf numFmtId="165" fontId="69" fillId="5" borderId="82" xfId="1" applyFont="1" applyFill="1" applyBorder="1" applyAlignment="1">
      <alignment vertical="center" wrapText="1"/>
    </xf>
    <xf numFmtId="177" fontId="70" fillId="0" borderId="103" xfId="1" applyNumberFormat="1" applyFont="1" applyBorder="1"/>
    <xf numFmtId="177" fontId="70" fillId="3" borderId="103" xfId="1" applyNumberFormat="1" applyFont="1" applyFill="1" applyBorder="1"/>
    <xf numFmtId="177" fontId="59" fillId="0" borderId="0" xfId="1" applyNumberFormat="1" applyFont="1"/>
    <xf numFmtId="177" fontId="71" fillId="0" borderId="0" xfId="1" applyNumberFormat="1" applyFont="1" applyFill="1" applyBorder="1"/>
    <xf numFmtId="177" fontId="71" fillId="0" borderId="0" xfId="1" applyNumberFormat="1" applyFont="1" applyBorder="1"/>
    <xf numFmtId="171" fontId="0" fillId="0" borderId="103" xfId="0" applyNumberFormat="1" applyBorder="1"/>
    <xf numFmtId="0" fontId="0" fillId="0" borderId="103" xfId="0" applyFont="1" applyFill="1" applyBorder="1"/>
    <xf numFmtId="168" fontId="0" fillId="0" borderId="103" xfId="0" applyNumberFormat="1" applyBorder="1"/>
    <xf numFmtId="0" fontId="7" fillId="0" borderId="103" xfId="0" applyFont="1" applyFill="1" applyBorder="1" applyAlignment="1">
      <alignment horizontal="right"/>
    </xf>
    <xf numFmtId="168" fontId="0" fillId="0" borderId="103" xfId="0" applyNumberFormat="1" applyBorder="1" applyAlignment="1">
      <alignment horizontal="right"/>
    </xf>
    <xf numFmtId="0" fontId="7" fillId="0" borderId="103" xfId="0" applyFont="1" applyFill="1" applyBorder="1"/>
    <xf numFmtId="168" fontId="7" fillId="0" borderId="0" xfId="0" applyNumberFormat="1" applyFont="1"/>
    <xf numFmtId="0" fontId="3" fillId="0" borderId="25" xfId="0" applyFont="1" applyFill="1" applyBorder="1" applyAlignment="1">
      <alignment horizontal="right"/>
    </xf>
    <xf numFmtId="0" fontId="9" fillId="0" borderId="88" xfId="2" applyFont="1" applyFill="1" applyBorder="1"/>
    <xf numFmtId="9" fontId="0" fillId="0" borderId="0" xfId="596" applyFont="1"/>
    <xf numFmtId="0" fontId="9" fillId="0" borderId="0" xfId="2" applyFont="1" applyFill="1" applyBorder="1"/>
    <xf numFmtId="9" fontId="59" fillId="0" borderId="0" xfId="596" applyFont="1"/>
    <xf numFmtId="0" fontId="59" fillId="0" borderId="0" xfId="0" applyFont="1"/>
    <xf numFmtId="0" fontId="43" fillId="0" borderId="0" xfId="0" applyFont="1" applyAlignment="1">
      <alignment vertical="center"/>
    </xf>
    <xf numFmtId="0" fontId="43" fillId="0" borderId="35" xfId="0" applyFont="1" applyBorder="1" applyAlignment="1">
      <alignment horizontal="center" vertical="center" wrapText="1"/>
    </xf>
    <xf numFmtId="0" fontId="43" fillId="0" borderId="33" xfId="0" applyFont="1" applyBorder="1" applyAlignment="1">
      <alignment horizontal="center" vertical="center" wrapText="1"/>
    </xf>
    <xf numFmtId="0" fontId="43" fillId="0" borderId="36" xfId="0" applyFont="1" applyBorder="1" applyAlignment="1">
      <alignment horizontal="center" vertical="center" wrapText="1"/>
    </xf>
    <xf numFmtId="0" fontId="67" fillId="0" borderId="37" xfId="0" applyFont="1" applyBorder="1" applyAlignment="1">
      <alignment vertical="center" wrapText="1"/>
    </xf>
    <xf numFmtId="3" fontId="43" fillId="0" borderId="38" xfId="0" applyNumberFormat="1" applyFont="1" applyBorder="1" applyAlignment="1">
      <alignment vertical="center"/>
    </xf>
    <xf numFmtId="172" fontId="67" fillId="0" borderId="39" xfId="0" applyNumberFormat="1" applyFont="1" applyBorder="1" applyAlignment="1">
      <alignment vertical="center"/>
    </xf>
    <xf numFmtId="3" fontId="43" fillId="0" borderId="39" xfId="0" applyNumberFormat="1" applyFont="1" applyBorder="1" applyAlignment="1">
      <alignment vertical="center"/>
    </xf>
    <xf numFmtId="0" fontId="67" fillId="0" borderId="27" xfId="0" applyFont="1" applyBorder="1" applyAlignment="1">
      <alignment vertical="center" wrapText="1"/>
    </xf>
    <xf numFmtId="3" fontId="67" fillId="0" borderId="55" xfId="0" applyNumberFormat="1" applyFont="1" applyBorder="1" applyAlignment="1">
      <alignment vertical="center"/>
    </xf>
    <xf numFmtId="172" fontId="67" fillId="0" borderId="56" xfId="0" applyNumberFormat="1" applyFont="1" applyBorder="1" applyAlignment="1">
      <alignment vertical="center"/>
    </xf>
    <xf numFmtId="3" fontId="67" fillId="0" borderId="56" xfId="0" applyNumberFormat="1" applyFont="1" applyBorder="1" applyAlignment="1">
      <alignment vertical="center"/>
    </xf>
    <xf numFmtId="172" fontId="67" fillId="0" borderId="52" xfId="0" applyNumberFormat="1" applyFont="1" applyBorder="1" applyAlignment="1">
      <alignment vertical="center"/>
    </xf>
    <xf numFmtId="3" fontId="67" fillId="0" borderId="38" xfId="0" applyNumberFormat="1" applyFont="1" applyBorder="1" applyAlignment="1">
      <alignment vertical="center"/>
    </xf>
    <xf numFmtId="3" fontId="67" fillId="0" borderId="39" xfId="0" applyNumberFormat="1" applyFont="1" applyBorder="1" applyAlignment="1">
      <alignment vertical="center"/>
    </xf>
    <xf numFmtId="172" fontId="67" fillId="0" borderId="40" xfId="0" applyNumberFormat="1" applyFont="1" applyBorder="1" applyAlignment="1">
      <alignment vertical="center"/>
    </xf>
    <xf numFmtId="3" fontId="67" fillId="0" borderId="35" xfId="0" applyNumberFormat="1" applyFont="1" applyBorder="1" applyAlignment="1">
      <alignment vertical="center"/>
    </xf>
    <xf numFmtId="172" fontId="67" fillId="0" borderId="33" xfId="0" applyNumberFormat="1" applyFont="1" applyBorder="1" applyAlignment="1">
      <alignment vertical="center"/>
    </xf>
    <xf numFmtId="3" fontId="67" fillId="0" borderId="33" xfId="0" applyNumberFormat="1" applyFont="1" applyBorder="1" applyAlignment="1">
      <alignment vertical="center"/>
    </xf>
    <xf numFmtId="172" fontId="67" fillId="0" borderId="36" xfId="0" applyNumberFormat="1" applyFont="1" applyBorder="1" applyAlignment="1">
      <alignment vertical="center"/>
    </xf>
    <xf numFmtId="3" fontId="59" fillId="0" borderId="0" xfId="0" applyNumberFormat="1" applyFont="1"/>
    <xf numFmtId="3" fontId="59" fillId="4" borderId="0" xfId="0" applyNumberFormat="1" applyFont="1" applyFill="1"/>
    <xf numFmtId="0" fontId="59" fillId="4" borderId="0" xfId="0" applyFont="1" applyFill="1"/>
    <xf numFmtId="0" fontId="59" fillId="0" borderId="41" xfId="0" applyFont="1" applyBorder="1"/>
    <xf numFmtId="3" fontId="59" fillId="0" borderId="54" xfId="0" applyNumberFormat="1" applyFont="1" applyBorder="1"/>
    <xf numFmtId="172" fontId="59" fillId="0" borderId="52" xfId="0" applyNumberFormat="1" applyFont="1" applyBorder="1"/>
    <xf numFmtId="0" fontId="59" fillId="0" borderId="42" xfId="0" applyFont="1" applyBorder="1"/>
    <xf numFmtId="3" fontId="59" fillId="0" borderId="0" xfId="0" applyNumberFormat="1" applyFont="1" applyBorder="1"/>
    <xf numFmtId="172" fontId="59" fillId="0" borderId="40" xfId="0" applyNumberFormat="1" applyFont="1" applyBorder="1"/>
    <xf numFmtId="0" fontId="59" fillId="0" borderId="60" xfId="0" applyFont="1" applyBorder="1"/>
    <xf numFmtId="3" fontId="59" fillId="0" borderId="34" xfId="0" applyNumberFormat="1" applyFont="1" applyBorder="1"/>
    <xf numFmtId="172" fontId="59" fillId="0" borderId="36" xfId="0" applyNumberFormat="1" applyFont="1" applyBorder="1"/>
    <xf numFmtId="0" fontId="59" fillId="0" borderId="1" xfId="0" applyFont="1" applyBorder="1"/>
    <xf numFmtId="3" fontId="59" fillId="0" borderId="58" xfId="0" applyNumberFormat="1" applyFont="1" applyBorder="1"/>
    <xf numFmtId="172" fontId="59" fillId="0" borderId="59" xfId="0" applyNumberFormat="1" applyFont="1" applyBorder="1"/>
    <xf numFmtId="0" fontId="67" fillId="0" borderId="45" xfId="0" applyFont="1" applyBorder="1" applyAlignment="1">
      <alignment vertical="center" wrapText="1"/>
    </xf>
    <xf numFmtId="0" fontId="67" fillId="0" borderId="45" xfId="0" applyFont="1" applyBorder="1" applyAlignment="1">
      <alignment horizontal="center" vertical="center" wrapText="1"/>
    </xf>
    <xf numFmtId="0" fontId="67" fillId="0" borderId="64" xfId="0" applyFont="1" applyBorder="1" applyAlignment="1">
      <alignment horizontal="center" vertical="center" wrapText="1"/>
    </xf>
    <xf numFmtId="0" fontId="67" fillId="0" borderId="33" xfId="0" applyFont="1" applyBorder="1" applyAlignment="1">
      <alignment horizontal="center" vertical="center" wrapText="1"/>
    </xf>
    <xf numFmtId="0" fontId="67" fillId="0" borderId="1" xfId="0" applyFont="1" applyBorder="1" applyAlignment="1">
      <alignment horizontal="center" vertical="center" wrapText="1"/>
    </xf>
    <xf numFmtId="0" fontId="67" fillId="0" borderId="36" xfId="0" applyFont="1" applyBorder="1" applyAlignment="1">
      <alignment horizontal="center" vertical="center" wrapText="1"/>
    </xf>
    <xf numFmtId="0" fontId="67" fillId="0" borderId="59" xfId="0" applyFont="1" applyBorder="1" applyAlignment="1">
      <alignment horizontal="center" vertical="center" wrapText="1"/>
    </xf>
    <xf numFmtId="0" fontId="43" fillId="0" borderId="35" xfId="0" applyFont="1" applyBorder="1" applyAlignment="1">
      <alignment vertical="center" wrapText="1"/>
    </xf>
    <xf numFmtId="3" fontId="43" fillId="0" borderId="33" xfId="0" applyNumberFormat="1" applyFont="1" applyBorder="1" applyAlignment="1">
      <alignment vertical="center"/>
    </xf>
    <xf numFmtId="0" fontId="43" fillId="0" borderId="33" xfId="0" applyFont="1" applyBorder="1" applyAlignment="1">
      <alignment vertical="center"/>
    </xf>
    <xf numFmtId="0" fontId="43" fillId="0" borderId="36" xfId="0" applyFont="1" applyBorder="1" applyAlignment="1">
      <alignment vertical="center"/>
    </xf>
    <xf numFmtId="0" fontId="43" fillId="0" borderId="37" xfId="0" applyFont="1" applyBorder="1" applyAlignment="1">
      <alignment vertical="center" wrapText="1"/>
    </xf>
    <xf numFmtId="0" fontId="43" fillId="0" borderId="60" xfId="0" applyFont="1" applyBorder="1" applyAlignment="1">
      <alignment horizontal="right" vertical="center"/>
    </xf>
    <xf numFmtId="0" fontId="43" fillId="0" borderId="36" xfId="0" applyFont="1" applyBorder="1" applyAlignment="1">
      <alignment horizontal="right" vertical="center"/>
    </xf>
    <xf numFmtId="0" fontId="43" fillId="0" borderId="36" xfId="0" applyFont="1" applyBorder="1" applyAlignment="1">
      <alignment horizontal="center" vertical="center"/>
    </xf>
    <xf numFmtId="0" fontId="67" fillId="0" borderId="38" xfId="0" applyFont="1" applyBorder="1" applyAlignment="1">
      <alignment vertical="center" wrapText="1"/>
    </xf>
    <xf numFmtId="0" fontId="67" fillId="0" borderId="39" xfId="0" applyFont="1" applyBorder="1" applyAlignment="1">
      <alignment vertical="center"/>
    </xf>
    <xf numFmtId="0" fontId="67" fillId="0" borderId="38" xfId="0" applyFont="1" applyBorder="1" applyAlignment="1">
      <alignment horizontal="right" vertical="center"/>
    </xf>
    <xf numFmtId="0" fontId="67" fillId="0" borderId="39" xfId="0" applyFont="1" applyBorder="1" applyAlignment="1">
      <alignment horizontal="right" vertical="center"/>
    </xf>
    <xf numFmtId="0" fontId="67" fillId="0" borderId="40" xfId="0" applyFont="1" applyBorder="1" applyAlignment="1">
      <alignment horizontal="right" vertical="center"/>
    </xf>
    <xf numFmtId="0" fontId="67" fillId="0" borderId="40" xfId="0" applyFont="1" applyBorder="1" applyAlignment="1">
      <alignment horizontal="center" vertical="center"/>
    </xf>
    <xf numFmtId="0" fontId="67" fillId="0" borderId="31" xfId="0" applyFont="1" applyBorder="1" applyAlignment="1">
      <alignment vertical="center" wrapText="1"/>
    </xf>
    <xf numFmtId="3" fontId="67" fillId="0" borderId="32" xfId="0" applyNumberFormat="1" applyFont="1" applyBorder="1" applyAlignment="1">
      <alignment vertical="center"/>
    </xf>
    <xf numFmtId="0" fontId="67" fillId="0" borderId="32" xfId="0" applyFont="1" applyBorder="1" applyAlignment="1">
      <alignment vertical="center"/>
    </xf>
    <xf numFmtId="0" fontId="67" fillId="0" borderId="35" xfId="0" applyFont="1" applyBorder="1" applyAlignment="1">
      <alignment horizontal="right" vertical="center"/>
    </xf>
    <xf numFmtId="0" fontId="67" fillId="0" borderId="33" xfId="0" applyFont="1" applyBorder="1" applyAlignment="1">
      <alignment horizontal="right" vertical="center"/>
    </xf>
    <xf numFmtId="0" fontId="67" fillId="0" borderId="36" xfId="0" applyFont="1" applyBorder="1" applyAlignment="1">
      <alignment horizontal="right" vertical="center"/>
    </xf>
    <xf numFmtId="0" fontId="67" fillId="0" borderId="36" xfId="0" applyFont="1" applyBorder="1" applyAlignment="1">
      <alignment horizontal="center" vertical="center"/>
    </xf>
    <xf numFmtId="0" fontId="67" fillId="0" borderId="0" xfId="0" applyFont="1" applyBorder="1" applyAlignment="1">
      <alignment vertical="center" wrapText="1"/>
    </xf>
    <xf numFmtId="3" fontId="67" fillId="0" borderId="0" xfId="0" applyNumberFormat="1" applyFont="1" applyBorder="1" applyAlignment="1">
      <alignment vertical="center"/>
    </xf>
    <xf numFmtId="0" fontId="67" fillId="0" borderId="0" xfId="0" applyFont="1" applyBorder="1" applyAlignment="1">
      <alignment vertical="center"/>
    </xf>
    <xf numFmtId="0" fontId="67" fillId="0" borderId="0" xfId="0" applyFont="1" applyBorder="1" applyAlignment="1">
      <alignment horizontal="right" vertical="center"/>
    </xf>
    <xf numFmtId="0" fontId="67" fillId="0" borderId="0" xfId="0" applyFont="1" applyBorder="1" applyAlignment="1">
      <alignment horizontal="center" vertical="center"/>
    </xf>
    <xf numFmtId="0" fontId="43" fillId="0" borderId="0" xfId="0" applyFont="1" applyBorder="1" applyAlignment="1">
      <alignment horizontal="right"/>
    </xf>
    <xf numFmtId="3" fontId="67" fillId="0" borderId="0" xfId="0" applyNumberFormat="1" applyFont="1" applyBorder="1" applyAlignment="1"/>
    <xf numFmtId="3" fontId="67" fillId="0" borderId="0" xfId="0" applyNumberFormat="1" applyFont="1" applyBorder="1" applyAlignment="1">
      <alignment horizontal="right"/>
    </xf>
    <xf numFmtId="0" fontId="67" fillId="0" borderId="0" xfId="0" applyFont="1" applyBorder="1" applyAlignment="1"/>
    <xf numFmtId="0" fontId="43" fillId="0" borderId="0" xfId="0" applyFont="1"/>
    <xf numFmtId="0" fontId="43" fillId="0" borderId="67" xfId="0" applyFont="1" applyBorder="1" applyAlignment="1">
      <alignment vertical="center" wrapText="1"/>
    </xf>
    <xf numFmtId="0" fontId="43" fillId="0" borderId="68" xfId="0" applyFont="1" applyBorder="1" applyAlignment="1">
      <alignment vertical="center"/>
    </xf>
    <xf numFmtId="0" fontId="43" fillId="0" borderId="60" xfId="0" applyFont="1" applyBorder="1" applyAlignment="1">
      <alignment vertical="center"/>
    </xf>
    <xf numFmtId="0" fontId="43" fillId="0" borderId="34" xfId="0" applyFont="1" applyBorder="1" applyAlignment="1">
      <alignment vertical="center" wrapText="1"/>
    </xf>
    <xf numFmtId="0" fontId="43" fillId="0" borderId="34" xfId="0" applyFont="1" applyBorder="1" applyAlignment="1">
      <alignment horizontal="center" vertical="center"/>
    </xf>
    <xf numFmtId="0" fontId="67" fillId="0" borderId="42" xfId="0" applyFont="1" applyBorder="1" applyAlignment="1">
      <alignment vertical="center"/>
    </xf>
    <xf numFmtId="0" fontId="43" fillId="0" borderId="40" xfId="0" applyFont="1" applyBorder="1" applyAlignment="1">
      <alignment horizontal="center" vertical="center"/>
    </xf>
    <xf numFmtId="0" fontId="67" fillId="0" borderId="40" xfId="0" applyFont="1" applyBorder="1" applyAlignment="1">
      <alignment vertical="center"/>
    </xf>
    <xf numFmtId="0" fontId="67" fillId="0" borderId="0" xfId="0" applyFont="1" applyAlignment="1">
      <alignment vertical="center" wrapText="1"/>
    </xf>
    <xf numFmtId="0" fontId="67" fillId="0" borderId="0" xfId="0" applyFont="1" applyAlignment="1">
      <alignment horizontal="center" vertical="center"/>
    </xf>
    <xf numFmtId="0" fontId="67" fillId="0" borderId="42" xfId="0" applyFont="1" applyBorder="1" applyAlignment="1">
      <alignment horizontal="center" vertical="center"/>
    </xf>
    <xf numFmtId="0" fontId="67" fillId="0" borderId="60" xfId="0" applyFont="1" applyBorder="1" applyAlignment="1">
      <alignment vertical="center"/>
    </xf>
    <xf numFmtId="0" fontId="67" fillId="0" borderId="33" xfId="0" applyFont="1" applyBorder="1" applyAlignment="1">
      <alignment vertical="center"/>
    </xf>
    <xf numFmtId="0" fontId="67" fillId="0" borderId="36" xfId="0" applyFont="1" applyBorder="1" applyAlignment="1">
      <alignment vertical="center"/>
    </xf>
    <xf numFmtId="0" fontId="67" fillId="0" borderId="34" xfId="0" applyFont="1" applyBorder="1" applyAlignment="1">
      <alignment vertical="center" wrapText="1"/>
    </xf>
    <xf numFmtId="0" fontId="67" fillId="0" borderId="34" xfId="0" applyFont="1" applyBorder="1" applyAlignment="1">
      <alignment horizontal="center" vertical="center"/>
    </xf>
    <xf numFmtId="0" fontId="67" fillId="0" borderId="60" xfId="0" applyFont="1" applyBorder="1" applyAlignment="1">
      <alignment horizontal="center" vertical="center"/>
    </xf>
    <xf numFmtId="0" fontId="67" fillId="0" borderId="0" xfId="0" applyFont="1" applyAlignment="1">
      <alignment vertical="center"/>
    </xf>
    <xf numFmtId="0" fontId="67" fillId="0" borderId="37" xfId="0" applyFont="1" applyBorder="1" applyAlignment="1">
      <alignment horizontal="right" vertical="center"/>
    </xf>
    <xf numFmtId="0" fontId="72" fillId="0" borderId="0" xfId="0" applyFont="1" applyAlignment="1">
      <alignment vertical="center"/>
    </xf>
    <xf numFmtId="0" fontId="73" fillId="0" borderId="0" xfId="0" applyFont="1" applyAlignment="1">
      <alignment vertical="center"/>
    </xf>
    <xf numFmtId="182" fontId="71" fillId="0" borderId="1" xfId="596" applyNumberFormat="1" applyFont="1" applyBorder="1"/>
    <xf numFmtId="0" fontId="72" fillId="3" borderId="0" xfId="0" applyFont="1" applyFill="1" applyAlignment="1">
      <alignment vertical="center"/>
    </xf>
    <xf numFmtId="0" fontId="57" fillId="3" borderId="0" xfId="0" applyFont="1" applyFill="1"/>
    <xf numFmtId="177" fontId="59" fillId="0" borderId="0" xfId="1" applyNumberFormat="1" applyFont="1" applyBorder="1"/>
    <xf numFmtId="177" fontId="59" fillId="0" borderId="40" xfId="1" applyNumberFormat="1" applyFont="1" applyBorder="1"/>
    <xf numFmtId="177" fontId="59" fillId="0" borderId="0" xfId="1" applyNumberFormat="1" applyFont="1" applyBorder="1" applyAlignment="1">
      <alignment horizontal="right"/>
    </xf>
    <xf numFmtId="177" fontId="59" fillId="0" borderId="40" xfId="1" applyNumberFormat="1" applyFont="1" applyBorder="1" applyAlignment="1">
      <alignment horizontal="right"/>
    </xf>
    <xf numFmtId="9" fontId="59" fillId="0" borderId="0" xfId="596" applyFont="1" applyBorder="1"/>
    <xf numFmtId="177" fontId="71" fillId="0" borderId="1" xfId="1" applyNumberFormat="1" applyFont="1" applyBorder="1"/>
    <xf numFmtId="177" fontId="59" fillId="0" borderId="42" xfId="1" applyNumberFormat="1" applyFont="1" applyBorder="1"/>
    <xf numFmtId="177" fontId="59" fillId="0" borderId="42" xfId="1" applyNumberFormat="1" applyFont="1" applyBorder="1" applyAlignment="1">
      <alignment wrapText="1"/>
    </xf>
    <xf numFmtId="177" fontId="59" fillId="0" borderId="60" xfId="1" applyNumberFormat="1" applyFont="1" applyBorder="1"/>
    <xf numFmtId="177" fontId="59" fillId="0" borderId="1" xfId="1" applyNumberFormat="1" applyFont="1" applyBorder="1"/>
    <xf numFmtId="177" fontId="71" fillId="0" borderId="58" xfId="1" applyNumberFormat="1" applyFont="1" applyBorder="1"/>
    <xf numFmtId="177" fontId="71" fillId="0" borderId="59" xfId="1" applyNumberFormat="1" applyFont="1" applyBorder="1"/>
    <xf numFmtId="0" fontId="0" fillId="0" borderId="20" xfId="0" applyFill="1" applyBorder="1" applyAlignment="1">
      <alignment horizontal="left"/>
    </xf>
    <xf numFmtId="167" fontId="0" fillId="0" borderId="15" xfId="1" applyNumberFormat="1" applyFont="1" applyFill="1" applyBorder="1"/>
    <xf numFmtId="167" fontId="0" fillId="0" borderId="15" xfId="1" applyNumberFormat="1" applyFont="1" applyBorder="1"/>
    <xf numFmtId="167" fontId="0" fillId="0" borderId="101" xfId="1" applyNumberFormat="1" applyFont="1" applyFill="1" applyBorder="1"/>
    <xf numFmtId="167" fontId="7" fillId="0" borderId="13" xfId="0" applyNumberFormat="1" applyFont="1" applyBorder="1"/>
    <xf numFmtId="0" fontId="0" fillId="3" borderId="103" xfId="0" quotePrefix="1" applyFill="1" applyBorder="1" applyAlignment="1">
      <alignment horizontal="left"/>
    </xf>
    <xf numFmtId="177" fontId="0" fillId="3" borderId="103" xfId="1" applyNumberFormat="1" applyFont="1" applyFill="1" applyBorder="1"/>
    <xf numFmtId="0" fontId="9" fillId="0" borderId="0" xfId="2" applyFont="1" applyBorder="1"/>
    <xf numFmtId="0" fontId="0" fillId="0" borderId="103" xfId="0" quotePrefix="1" applyFont="1" applyFill="1" applyBorder="1"/>
    <xf numFmtId="166" fontId="0" fillId="0" borderId="103" xfId="595" applyFont="1" applyBorder="1"/>
    <xf numFmtId="0" fontId="0" fillId="3" borderId="103" xfId="0" quotePrefix="1" applyFont="1" applyFill="1" applyBorder="1"/>
    <xf numFmtId="177" fontId="0" fillId="3" borderId="103" xfId="0" applyNumberFormat="1" applyFill="1" applyBorder="1"/>
    <xf numFmtId="177" fontId="9" fillId="0" borderId="0" xfId="1" applyNumberFormat="1" applyFont="1" applyBorder="1"/>
    <xf numFmtId="177" fontId="9" fillId="2" borderId="0" xfId="1" applyNumberFormat="1" applyFont="1" applyFill="1" applyBorder="1"/>
    <xf numFmtId="177" fontId="59" fillId="0" borderId="0" xfId="1" applyNumberFormat="1" applyFont="1" applyBorder="1" applyAlignment="1">
      <alignment horizontal="left"/>
    </xf>
    <xf numFmtId="177" fontId="9" fillId="0" borderId="0" xfId="1" applyNumberFormat="1" applyFont="1" applyFill="1" applyBorder="1"/>
    <xf numFmtId="177" fontId="8" fillId="0" borderId="0" xfId="1" applyNumberFormat="1" applyFont="1" applyBorder="1"/>
    <xf numFmtId="177" fontId="8" fillId="0" borderId="0" xfId="1" applyNumberFormat="1" applyFont="1" applyFill="1" applyBorder="1"/>
    <xf numFmtId="177" fontId="59" fillId="0" borderId="0" xfId="1" applyNumberFormat="1" applyFont="1" applyFill="1" applyBorder="1" applyAlignment="1">
      <alignment horizontal="left"/>
    </xf>
    <xf numFmtId="177" fontId="59" fillId="0" borderId="0" xfId="1" applyNumberFormat="1" applyFont="1" applyFill="1" applyBorder="1"/>
    <xf numFmtId="177" fontId="8" fillId="0" borderId="0" xfId="1" applyNumberFormat="1" applyFont="1" applyBorder="1" applyAlignment="1">
      <alignment horizontal="right"/>
    </xf>
    <xf numFmtId="177" fontId="74" fillId="0" borderId="0" xfId="1" applyNumberFormat="1" applyFont="1" applyFill="1"/>
    <xf numFmtId="177" fontId="59" fillId="0" borderId="0" xfId="1" applyNumberFormat="1" applyFont="1" applyFill="1"/>
    <xf numFmtId="177" fontId="71" fillId="0" borderId="57" xfId="1" applyNumberFormat="1" applyFont="1" applyBorder="1"/>
    <xf numFmtId="166" fontId="59" fillId="0" borderId="27" xfId="595" applyFont="1" applyBorder="1"/>
    <xf numFmtId="173" fontId="59" fillId="0" borderId="40" xfId="595" applyNumberFormat="1" applyFont="1" applyBorder="1"/>
    <xf numFmtId="173" fontId="59" fillId="0" borderId="27" xfId="595" applyNumberFormat="1" applyFont="1" applyBorder="1"/>
    <xf numFmtId="173" fontId="59" fillId="0" borderId="40" xfId="1" applyNumberFormat="1" applyFont="1" applyBorder="1"/>
    <xf numFmtId="177" fontId="59" fillId="0" borderId="41" xfId="1" applyNumberFormat="1" applyFont="1" applyBorder="1"/>
    <xf numFmtId="3" fontId="67" fillId="0" borderId="54" xfId="0" applyNumberFormat="1" applyFont="1" applyBorder="1" applyAlignment="1">
      <alignment horizontal="right"/>
    </xf>
    <xf numFmtId="168" fontId="67" fillId="3" borderId="52" xfId="0" applyNumberFormat="1" applyFont="1" applyFill="1" applyBorder="1" applyAlignment="1"/>
    <xf numFmtId="3" fontId="67" fillId="0" borderId="34" xfId="0" applyNumberFormat="1" applyFont="1" applyBorder="1" applyAlignment="1">
      <alignment horizontal="right"/>
    </xf>
    <xf numFmtId="0" fontId="43" fillId="0" borderId="42" xfId="0" applyFont="1" applyBorder="1" applyAlignment="1">
      <alignment wrapText="1"/>
    </xf>
    <xf numFmtId="0" fontId="43" fillId="0" borderId="58" xfId="0" applyFont="1" applyBorder="1" applyAlignment="1">
      <alignment horizontal="right" wrapText="1"/>
    </xf>
    <xf numFmtId="0" fontId="43" fillId="0" borderId="59" xfId="0" applyFont="1" applyBorder="1" applyAlignment="1">
      <alignment horizontal="right"/>
    </xf>
    <xf numFmtId="0" fontId="43" fillId="0" borderId="1" xfId="0" applyFont="1" applyBorder="1" applyAlignment="1">
      <alignment wrapText="1"/>
    </xf>
    <xf numFmtId="0" fontId="67" fillId="0" borderId="83" xfId="0" applyFont="1" applyBorder="1" applyAlignment="1">
      <alignment vertical="center" wrapText="1"/>
    </xf>
    <xf numFmtId="0" fontId="67" fillId="0" borderId="27" xfId="0" applyFont="1" applyBorder="1" applyAlignment="1">
      <alignment vertical="center"/>
    </xf>
    <xf numFmtId="0" fontId="67" fillId="0" borderId="27" xfId="0" applyFont="1" applyBorder="1" applyAlignment="1"/>
    <xf numFmtId="10" fontId="67" fillId="0" borderId="42" xfId="0" applyNumberFormat="1" applyFont="1" applyBorder="1" applyAlignment="1"/>
    <xf numFmtId="177" fontId="67" fillId="3" borderId="60" xfId="1" applyNumberFormat="1" applyFont="1" applyFill="1" applyBorder="1" applyAlignment="1">
      <alignment vertical="center"/>
    </xf>
    <xf numFmtId="0" fontId="67" fillId="0" borderId="0" xfId="0" applyFont="1" applyBorder="1" applyAlignment="1">
      <alignment wrapText="1"/>
    </xf>
    <xf numFmtId="0" fontId="67" fillId="0" borderId="0" xfId="0" applyFont="1" applyBorder="1" applyAlignment="1">
      <alignment vertical="center" wrapText="1"/>
    </xf>
    <xf numFmtId="0" fontId="71" fillId="0" borderId="0" xfId="0" applyFont="1"/>
    <xf numFmtId="168" fontId="67" fillId="0" borderId="0" xfId="0" applyNumberFormat="1" applyFont="1" applyBorder="1" applyAlignment="1"/>
    <xf numFmtId="0" fontId="43" fillId="0" borderId="0" xfId="0" applyFont="1" applyBorder="1" applyAlignment="1"/>
    <xf numFmtId="3" fontId="43" fillId="0" borderId="0" xfId="0" applyNumberFormat="1" applyFont="1" applyBorder="1" applyAlignment="1"/>
    <xf numFmtId="0" fontId="67" fillId="0" borderId="37" xfId="0" applyFont="1" applyBorder="1" applyAlignment="1">
      <alignment vertical="center"/>
    </xf>
    <xf numFmtId="0" fontId="67" fillId="0" borderId="83" xfId="0" applyFont="1" applyBorder="1" applyAlignment="1">
      <alignment vertical="center"/>
    </xf>
    <xf numFmtId="0" fontId="43" fillId="0" borderId="0" xfId="0" applyFont="1" applyBorder="1" applyAlignment="1">
      <alignment vertical="center"/>
    </xf>
    <xf numFmtId="3" fontId="67" fillId="29" borderId="42" xfId="0" applyNumberFormat="1" applyFont="1" applyFill="1" applyBorder="1" applyAlignment="1">
      <alignment vertical="center"/>
    </xf>
    <xf numFmtId="177" fontId="59" fillId="0" borderId="0" xfId="1" applyNumberFormat="1" applyFont="1" applyAlignment="1">
      <alignment wrapText="1"/>
    </xf>
    <xf numFmtId="177" fontId="59" fillId="0" borderId="0" xfId="1" quotePrefix="1" applyNumberFormat="1" applyFont="1" applyAlignment="1"/>
    <xf numFmtId="3" fontId="67" fillId="26" borderId="41" xfId="0" applyNumberFormat="1" applyFont="1" applyFill="1" applyBorder="1" applyAlignment="1">
      <alignment vertical="center"/>
    </xf>
    <xf numFmtId="177" fontId="67" fillId="0" borderId="41" xfId="1" applyNumberFormat="1" applyFont="1" applyBorder="1" applyAlignment="1">
      <alignment vertical="center"/>
    </xf>
    <xf numFmtId="3" fontId="67" fillId="31" borderId="42" xfId="0" applyNumberFormat="1" applyFont="1" applyFill="1" applyBorder="1" applyAlignment="1">
      <alignment vertical="center"/>
    </xf>
    <xf numFmtId="170" fontId="67" fillId="0" borderId="0" xfId="0" applyNumberFormat="1" applyFont="1" applyFill="1" applyBorder="1" applyAlignment="1">
      <alignment horizontal="left" vertical="top" wrapText="1"/>
    </xf>
    <xf numFmtId="177" fontId="59" fillId="0" borderId="0" xfId="0" applyNumberFormat="1" applyFont="1"/>
    <xf numFmtId="165" fontId="59" fillId="0" borderId="0" xfId="0" applyNumberFormat="1" applyFont="1"/>
    <xf numFmtId="168" fontId="67" fillId="0" borderId="40" xfId="0" applyNumberFormat="1" applyFont="1" applyFill="1" applyBorder="1" applyAlignment="1"/>
    <xf numFmtId="3" fontId="43" fillId="0" borderId="57" xfId="0" applyNumberFormat="1" applyFont="1" applyBorder="1" applyAlignment="1">
      <alignment horizontal="right" wrapText="1"/>
    </xf>
    <xf numFmtId="0" fontId="71" fillId="0" borderId="58" xfId="0" applyFont="1" applyBorder="1" applyAlignment="1">
      <alignment horizontal="right" wrapText="1"/>
    </xf>
    <xf numFmtId="3" fontId="67" fillId="0" borderId="27" xfId="0" applyNumberFormat="1" applyFont="1" applyBorder="1" applyAlignment="1"/>
    <xf numFmtId="3" fontId="67" fillId="0" borderId="37" xfId="0" applyNumberFormat="1" applyFont="1" applyBorder="1" applyAlignment="1"/>
    <xf numFmtId="168" fontId="67" fillId="0" borderId="36" xfId="0" applyNumberFormat="1" applyFont="1" applyFill="1" applyBorder="1" applyAlignment="1"/>
    <xf numFmtId="0" fontId="67" fillId="0" borderId="83" xfId="0" applyFont="1" applyBorder="1" applyAlignment="1">
      <alignment wrapText="1"/>
    </xf>
    <xf numFmtId="0" fontId="67" fillId="0" borderId="27" xfId="0" applyFont="1" applyBorder="1" applyAlignment="1">
      <alignment wrapText="1"/>
    </xf>
    <xf numFmtId="3" fontId="43" fillId="0" borderId="83" xfId="0" applyNumberFormat="1" applyFont="1" applyBorder="1" applyAlignment="1"/>
    <xf numFmtId="3" fontId="43" fillId="0" borderId="54" xfId="0" applyNumberFormat="1" applyFont="1" applyBorder="1" applyAlignment="1">
      <alignment horizontal="right"/>
    </xf>
    <xf numFmtId="3" fontId="67" fillId="0" borderId="83" xfId="0" applyNumberFormat="1" applyFont="1" applyBorder="1" applyAlignment="1"/>
    <xf numFmtId="0" fontId="67" fillId="0" borderId="37" xfId="0" applyFont="1" applyBorder="1" applyAlignment="1">
      <alignment wrapText="1"/>
    </xf>
    <xf numFmtId="165" fontId="59" fillId="0" borderId="54" xfId="1" applyFont="1" applyBorder="1"/>
    <xf numFmtId="177" fontId="59" fillId="0" borderId="54" xfId="1" applyNumberFormat="1" applyFont="1" applyBorder="1"/>
    <xf numFmtId="169" fontId="67" fillId="0" borderId="0" xfId="0" applyNumberFormat="1" applyFont="1" applyBorder="1" applyAlignment="1">
      <alignment vertical="center" wrapText="1"/>
    </xf>
    <xf numFmtId="3" fontId="67" fillId="30" borderId="42" xfId="0" applyNumberFormat="1" applyFont="1" applyFill="1" applyBorder="1" applyAlignment="1">
      <alignment vertical="center"/>
    </xf>
    <xf numFmtId="3" fontId="67" fillId="23" borderId="60" xfId="0" applyNumberFormat="1" applyFont="1" applyFill="1" applyBorder="1" applyAlignment="1">
      <alignment vertical="center"/>
    </xf>
    <xf numFmtId="0" fontId="0" fillId="0" borderId="83" xfId="0" applyBorder="1" applyAlignment="1">
      <alignment vertical="top" wrapText="1"/>
    </xf>
    <xf numFmtId="0" fontId="0" fillId="0" borderId="27" xfId="0" applyBorder="1" applyAlignment="1">
      <alignment vertical="top" wrapText="1"/>
    </xf>
    <xf numFmtId="0" fontId="31" fillId="0" borderId="0" xfId="0" applyFont="1" applyFill="1"/>
    <xf numFmtId="0" fontId="59" fillId="0" borderId="27" xfId="0" applyFont="1" applyBorder="1"/>
    <xf numFmtId="0" fontId="59" fillId="0" borderId="0" xfId="0" applyFont="1" applyFill="1" applyBorder="1"/>
    <xf numFmtId="0" fontId="59" fillId="0" borderId="0" xfId="0" applyFont="1" applyBorder="1" applyAlignment="1">
      <alignment wrapText="1"/>
    </xf>
    <xf numFmtId="0" fontId="8" fillId="0" borderId="125" xfId="0" applyFont="1" applyBorder="1"/>
    <xf numFmtId="0" fontId="59" fillId="0" borderId="0" xfId="0" applyFont="1" applyFill="1" applyBorder="1" applyAlignment="1">
      <alignment vertical="center"/>
    </xf>
    <xf numFmtId="0" fontId="76" fillId="0" borderId="0" xfId="0" applyFont="1"/>
    <xf numFmtId="0" fontId="7" fillId="0" borderId="59" xfId="0" applyFont="1" applyBorder="1" applyAlignment="1">
      <alignment horizontal="right" wrapText="1"/>
    </xf>
    <xf numFmtId="0" fontId="7" fillId="0" borderId="58" xfId="0" applyFont="1" applyBorder="1" applyAlignment="1">
      <alignment horizontal="right"/>
    </xf>
    <xf numFmtId="177" fontId="0" fillId="0" borderId="0" xfId="1" applyNumberFormat="1" applyFont="1" applyAlignment="1">
      <alignment horizontal="right"/>
    </xf>
    <xf numFmtId="0" fontId="59" fillId="0" borderId="83" xfId="0" applyFont="1" applyBorder="1"/>
    <xf numFmtId="0" fontId="59" fillId="0" borderId="54" xfId="0" applyFont="1" applyBorder="1"/>
    <xf numFmtId="0" fontId="59" fillId="0" borderId="52" xfId="0" applyFont="1" applyBorder="1"/>
    <xf numFmtId="0" fontId="59" fillId="0" borderId="0" xfId="0" applyFont="1" applyBorder="1"/>
    <xf numFmtId="0" fontId="59" fillId="0" borderId="40" xfId="0" applyFont="1" applyBorder="1"/>
    <xf numFmtId="0" fontId="71" fillId="0" borderId="0" xfId="0" applyFont="1" applyAlignment="1">
      <alignment horizontal="right"/>
    </xf>
    <xf numFmtId="2" fontId="59" fillId="0" borderId="0" xfId="0" applyNumberFormat="1" applyFont="1" applyBorder="1"/>
    <xf numFmtId="10" fontId="59" fillId="0" borderId="0" xfId="0" applyNumberFormat="1" applyFont="1"/>
    <xf numFmtId="178" fontId="59" fillId="0" borderId="0" xfId="0" applyNumberFormat="1" applyFont="1"/>
    <xf numFmtId="0" fontId="67" fillId="0" borderId="11" xfId="0" applyFont="1" applyBorder="1"/>
    <xf numFmtId="0" fontId="67" fillId="0" borderId="10" xfId="0" applyFont="1" applyBorder="1"/>
    <xf numFmtId="0" fontId="67" fillId="0" borderId="7" xfId="0" applyFont="1" applyBorder="1"/>
    <xf numFmtId="0" fontId="67" fillId="0" borderId="6" xfId="0" applyFont="1" applyBorder="1"/>
    <xf numFmtId="3" fontId="67" fillId="0" borderId="6" xfId="0" applyNumberFormat="1" applyFont="1" applyBorder="1"/>
    <xf numFmtId="175" fontId="59" fillId="0" borderId="0" xfId="0" applyNumberFormat="1" applyFont="1"/>
    <xf numFmtId="0" fontId="71" fillId="0" borderId="0" xfId="0" applyFont="1" applyFill="1"/>
    <xf numFmtId="0" fontId="59" fillId="0" borderId="0" xfId="0" applyFont="1" applyAlignment="1"/>
    <xf numFmtId="180" fontId="59" fillId="0" borderId="0" xfId="0" applyNumberFormat="1" applyFont="1"/>
    <xf numFmtId="0" fontId="9" fillId="0" borderId="0" xfId="0" applyFont="1" applyBorder="1" applyAlignment="1">
      <alignment wrapText="1"/>
    </xf>
    <xf numFmtId="0" fontId="71" fillId="0" borderId="0" xfId="0" applyFont="1" applyAlignment="1"/>
    <xf numFmtId="2" fontId="71" fillId="3" borderId="0" xfId="0" applyNumberFormat="1" applyFont="1" applyFill="1"/>
    <xf numFmtId="177" fontId="23" fillId="23" borderId="39" xfId="1" applyNumberFormat="1" applyFont="1" applyFill="1" applyBorder="1" applyAlignment="1">
      <alignment horizontal="right" vertical="center" wrapText="1"/>
    </xf>
    <xf numFmtId="177" fontId="23" fillId="5" borderId="39" xfId="1" applyNumberFormat="1" applyFont="1" applyFill="1" applyBorder="1" applyAlignment="1">
      <alignment horizontal="right" vertical="center" wrapText="1"/>
    </xf>
    <xf numFmtId="177" fontId="23" fillId="24" borderId="39" xfId="1" applyNumberFormat="1" applyFont="1" applyFill="1" applyBorder="1" applyAlignment="1">
      <alignment horizontal="right" vertical="center" wrapText="1"/>
    </xf>
    <xf numFmtId="177" fontId="23" fillId="22" borderId="39" xfId="1" applyNumberFormat="1" applyFont="1" applyFill="1" applyBorder="1" applyAlignment="1">
      <alignment horizontal="right" vertical="center" wrapText="1"/>
    </xf>
    <xf numFmtId="0" fontId="7" fillId="30" borderId="0" xfId="0" applyFont="1" applyFill="1"/>
    <xf numFmtId="0" fontId="0" fillId="30" borderId="0" xfId="0" applyFill="1"/>
    <xf numFmtId="177" fontId="7" fillId="30" borderId="0" xfId="1" applyNumberFormat="1" applyFont="1" applyFill="1"/>
    <xf numFmtId="177" fontId="7" fillId="30" borderId="42" xfId="1" applyNumberFormat="1" applyFont="1" applyFill="1" applyBorder="1"/>
    <xf numFmtId="177" fontId="0" fillId="0" borderId="27" xfId="1" applyNumberFormat="1" applyFont="1" applyBorder="1"/>
    <xf numFmtId="177" fontId="7" fillId="0" borderId="37" xfId="1" applyNumberFormat="1" applyFont="1" applyBorder="1"/>
    <xf numFmtId="0" fontId="7" fillId="30" borderId="0" xfId="0" applyFont="1" applyFill="1" applyAlignment="1">
      <alignment horizontal="right" wrapText="1"/>
    </xf>
    <xf numFmtId="0" fontId="7" fillId="30" borderId="0" xfId="0" applyFont="1" applyFill="1" applyAlignment="1">
      <alignment horizontal="right"/>
    </xf>
    <xf numFmtId="177" fontId="7" fillId="30" borderId="57" xfId="1" applyNumberFormat="1" applyFont="1" applyFill="1" applyBorder="1"/>
    <xf numFmtId="177" fontId="7" fillId="30" borderId="1" xfId="1" applyNumberFormat="1" applyFont="1" applyFill="1" applyBorder="1"/>
    <xf numFmtId="177" fontId="7" fillId="0" borderId="60" xfId="1" applyNumberFormat="1" applyFont="1" applyBorder="1"/>
    <xf numFmtId="0" fontId="7" fillId="30" borderId="57" xfId="0" applyFont="1" applyFill="1" applyBorder="1" applyAlignment="1">
      <alignment horizontal="right" wrapText="1"/>
    </xf>
    <xf numFmtId="0" fontId="7" fillId="30" borderId="1" xfId="0" applyFont="1" applyFill="1" applyBorder="1" applyAlignment="1">
      <alignment horizontal="right" wrapText="1"/>
    </xf>
    <xf numFmtId="177" fontId="7" fillId="0" borderId="0" xfId="1" applyNumberFormat="1" applyFont="1" applyAlignment="1">
      <alignment horizontal="right"/>
    </xf>
    <xf numFmtId="0" fontId="67" fillId="0" borderId="0" xfId="0" applyFont="1" applyBorder="1"/>
    <xf numFmtId="0" fontId="67" fillId="3" borderId="6" xfId="0" applyFont="1" applyFill="1" applyBorder="1"/>
    <xf numFmtId="3" fontId="67" fillId="3" borderId="6" xfId="0" applyNumberFormat="1" applyFont="1" applyFill="1" applyBorder="1"/>
    <xf numFmtId="0" fontId="67" fillId="0" borderId="6" xfId="0" applyFont="1" applyBorder="1" applyAlignment="1">
      <alignment horizontal="right" wrapText="1"/>
    </xf>
    <xf numFmtId="0" fontId="71" fillId="0" borderId="83" xfId="0" applyFont="1" applyBorder="1"/>
    <xf numFmtId="0" fontId="59" fillId="0" borderId="34" xfId="0" applyFont="1" applyBorder="1"/>
    <xf numFmtId="0" fontId="59" fillId="0" borderId="36" xfId="0" applyFont="1" applyBorder="1"/>
    <xf numFmtId="165" fontId="67" fillId="0" borderId="77" xfId="1" applyFont="1" applyFill="1" applyBorder="1" applyAlignment="1">
      <alignment vertical="center" wrapText="1"/>
    </xf>
    <xf numFmtId="177" fontId="67" fillId="0" borderId="39" xfId="1" applyNumberFormat="1" applyFont="1" applyFill="1" applyBorder="1" applyAlignment="1">
      <alignment horizontal="right" vertical="center" wrapText="1"/>
    </xf>
    <xf numFmtId="177" fontId="67" fillId="5" borderId="39" xfId="1" applyNumberFormat="1" applyFont="1" applyFill="1" applyBorder="1" applyAlignment="1">
      <alignment horizontal="right" vertical="center" wrapText="1"/>
    </xf>
    <xf numFmtId="177" fontId="67" fillId="5" borderId="77" xfId="1" applyNumberFormat="1" applyFont="1" applyFill="1" applyBorder="1" applyAlignment="1">
      <alignment horizontal="right" vertical="center" wrapText="1"/>
    </xf>
    <xf numFmtId="165" fontId="59" fillId="3" borderId="0" xfId="1" applyNumberFormat="1" applyFont="1" applyFill="1" applyBorder="1"/>
    <xf numFmtId="177" fontId="59" fillId="3" borderId="0" xfId="1" applyNumberFormat="1" applyFont="1" applyFill="1" applyBorder="1"/>
    <xf numFmtId="165" fontId="67" fillId="0" borderId="77" xfId="1" applyFont="1" applyFill="1" applyBorder="1" applyAlignment="1">
      <alignment vertical="top" wrapText="1"/>
    </xf>
    <xf numFmtId="165" fontId="67" fillId="5" borderId="77" xfId="1" applyFont="1" applyFill="1" applyBorder="1" applyAlignment="1">
      <alignment vertical="top" wrapText="1"/>
    </xf>
    <xf numFmtId="165" fontId="67" fillId="3" borderId="77" xfId="1" applyFont="1" applyFill="1" applyBorder="1" applyAlignment="1">
      <alignment vertical="top" wrapText="1"/>
    </xf>
    <xf numFmtId="177" fontId="67" fillId="3" borderId="39" xfId="1" applyNumberFormat="1" applyFont="1" applyFill="1" applyBorder="1" applyAlignment="1">
      <alignment horizontal="right" vertical="center" wrapText="1"/>
    </xf>
    <xf numFmtId="0" fontId="71" fillId="0" borderId="57" xfId="0" applyFont="1" applyBorder="1"/>
    <xf numFmtId="177" fontId="59" fillId="0" borderId="58" xfId="1" applyNumberFormat="1" applyFont="1" applyBorder="1"/>
    <xf numFmtId="177" fontId="59" fillId="0" borderId="59" xfId="1" applyNumberFormat="1" applyFont="1" applyBorder="1"/>
    <xf numFmtId="177" fontId="59" fillId="0" borderId="52" xfId="1" applyNumberFormat="1" applyFont="1" applyBorder="1"/>
    <xf numFmtId="165" fontId="59" fillId="3" borderId="34" xfId="1" applyNumberFormat="1" applyFont="1" applyFill="1" applyBorder="1"/>
    <xf numFmtId="177" fontId="59" fillId="3" borderId="34" xfId="1" applyNumberFormat="1" applyFont="1" applyFill="1" applyBorder="1"/>
    <xf numFmtId="177" fontId="59" fillId="0" borderId="36" xfId="1" applyNumberFormat="1" applyFont="1" applyBorder="1"/>
    <xf numFmtId="165" fontId="67" fillId="5" borderId="78" xfId="1" applyFont="1" applyFill="1" applyBorder="1" applyAlignment="1">
      <alignment vertical="top" wrapText="1"/>
    </xf>
    <xf numFmtId="177" fontId="67" fillId="5" borderId="79" xfId="1" applyNumberFormat="1" applyFont="1" applyFill="1" applyBorder="1" applyAlignment="1">
      <alignment horizontal="right" vertical="center" wrapText="1"/>
    </xf>
    <xf numFmtId="177" fontId="67" fillId="5" borderId="78" xfId="1" applyNumberFormat="1" applyFont="1" applyFill="1" applyBorder="1" applyAlignment="1">
      <alignment horizontal="right" vertical="center" wrapText="1"/>
    </xf>
    <xf numFmtId="0" fontId="71" fillId="3" borderId="0" xfId="0" applyFont="1" applyFill="1"/>
    <xf numFmtId="165" fontId="67" fillId="5" borderId="37" xfId="1" applyFont="1" applyFill="1" applyBorder="1" applyAlignment="1">
      <alignment vertical="center" wrapText="1"/>
    </xf>
    <xf numFmtId="165" fontId="67" fillId="5" borderId="127" xfId="1" applyFont="1" applyFill="1" applyBorder="1" applyAlignment="1">
      <alignment vertical="center" wrapText="1"/>
    </xf>
    <xf numFmtId="165" fontId="67" fillId="5" borderId="33" xfId="1" applyFont="1" applyFill="1" applyBorder="1" applyAlignment="1">
      <alignment horizontal="center" vertical="center" wrapText="1"/>
    </xf>
    <xf numFmtId="165" fontId="67" fillId="5" borderId="36" xfId="1" applyFont="1" applyFill="1" applyBorder="1" applyAlignment="1">
      <alignment horizontal="center" vertical="center" wrapText="1"/>
    </xf>
    <xf numFmtId="165" fontId="67" fillId="0" borderId="83" xfId="1" applyFont="1" applyBorder="1" applyAlignment="1">
      <alignment vertical="center"/>
    </xf>
    <xf numFmtId="165" fontId="67" fillId="0" borderId="54" xfId="1" applyFont="1" applyBorder="1" applyAlignment="1">
      <alignment vertical="center"/>
    </xf>
    <xf numFmtId="165" fontId="59" fillId="0" borderId="52" xfId="1" applyFont="1" applyBorder="1"/>
    <xf numFmtId="165" fontId="67" fillId="5" borderId="41" xfId="1" applyFont="1" applyFill="1" applyBorder="1" applyAlignment="1">
      <alignment vertical="center" wrapText="1"/>
    </xf>
    <xf numFmtId="165" fontId="67" fillId="5" borderId="42" xfId="1" applyFont="1" applyFill="1" applyBorder="1" applyAlignment="1">
      <alignment vertical="center" wrapText="1"/>
    </xf>
    <xf numFmtId="165" fontId="67" fillId="5" borderId="60" xfId="1" applyFont="1" applyFill="1" applyBorder="1" applyAlignment="1">
      <alignment vertical="center" wrapText="1"/>
    </xf>
    <xf numFmtId="0" fontId="33" fillId="0" borderId="0" xfId="0" applyFont="1" applyAlignment="1"/>
    <xf numFmtId="0" fontId="0" fillId="0" borderId="0" xfId="0" applyBorder="1" applyAlignment="1">
      <alignment horizontal="right"/>
    </xf>
    <xf numFmtId="2" fontId="0" fillId="0" borderId="0" xfId="0" applyNumberFormat="1" applyBorder="1"/>
    <xf numFmtId="0" fontId="0" fillId="0" borderId="0" xfId="0" quotePrefix="1" applyBorder="1" applyAlignment="1">
      <alignment horizontal="right"/>
    </xf>
    <xf numFmtId="0" fontId="33" fillId="0" borderId="0" xfId="0" applyFont="1" applyBorder="1" applyAlignment="1">
      <alignment horizontal="left" vertical="top" wrapText="1"/>
    </xf>
    <xf numFmtId="0" fontId="7" fillId="0" borderId="0" xfId="0" quotePrefix="1" applyFont="1" applyFill="1" applyBorder="1" applyAlignment="1">
      <alignment horizontal="right"/>
    </xf>
    <xf numFmtId="0" fontId="7" fillId="0" borderId="0" xfId="0" quotePrefix="1" applyFont="1" applyBorder="1" applyAlignment="1">
      <alignment horizontal="right"/>
    </xf>
    <xf numFmtId="0" fontId="9" fillId="0" borderId="0" xfId="0" applyFont="1" applyFill="1" applyBorder="1"/>
    <xf numFmtId="0" fontId="9" fillId="0" borderId="0" xfId="0" applyFont="1" applyFill="1" applyBorder="1" applyAlignment="1">
      <alignment horizontal="right" wrapText="1"/>
    </xf>
    <xf numFmtId="0" fontId="7" fillId="0" borderId="0" xfId="0" applyFont="1" applyBorder="1" applyAlignment="1">
      <alignment horizontal="right"/>
    </xf>
    <xf numFmtId="0" fontId="36" fillId="0" borderId="0" xfId="0" applyFont="1" applyBorder="1"/>
    <xf numFmtId="0" fontId="37" fillId="32" borderId="0" xfId="0" applyFont="1" applyFill="1"/>
    <xf numFmtId="0" fontId="0" fillId="32" borderId="0" xfId="0" applyFill="1"/>
    <xf numFmtId="0" fontId="78" fillId="32" borderId="0" xfId="0" applyFont="1" applyFill="1"/>
    <xf numFmtId="177" fontId="0" fillId="0" borderId="0" xfId="1" applyNumberFormat="1" applyFont="1" applyBorder="1" applyAlignment="1">
      <alignment horizontal="right"/>
    </xf>
    <xf numFmtId="177" fontId="0" fillId="0" borderId="40" xfId="1" applyNumberFormat="1" applyFont="1" applyBorder="1" applyAlignment="1">
      <alignment horizontal="right"/>
    </xf>
    <xf numFmtId="0" fontId="7" fillId="0" borderId="37" xfId="0" applyFont="1" applyBorder="1" applyAlignment="1">
      <alignment vertical="top" wrapText="1"/>
    </xf>
    <xf numFmtId="3" fontId="7" fillId="0" borderId="34" xfId="0" applyNumberFormat="1" applyFont="1" applyBorder="1"/>
    <xf numFmtId="3" fontId="7" fillId="0" borderId="36" xfId="0" applyNumberFormat="1" applyFont="1" applyBorder="1"/>
    <xf numFmtId="0" fontId="7" fillId="0" borderId="83" xfId="0" applyFont="1" applyBorder="1" applyAlignment="1">
      <alignment vertical="top" wrapText="1"/>
    </xf>
    <xf numFmtId="3" fontId="7" fillId="0" borderId="54" xfId="0" applyNumberFormat="1" applyFont="1" applyBorder="1"/>
    <xf numFmtId="3" fontId="7" fillId="0" borderId="52" xfId="0" applyNumberFormat="1" applyFont="1" applyBorder="1"/>
    <xf numFmtId="0" fontId="7" fillId="0" borderId="57" xfId="0" applyFont="1" applyBorder="1" applyAlignment="1">
      <alignment vertical="top" wrapText="1"/>
    </xf>
    <xf numFmtId="3" fontId="7" fillId="0" borderId="58" xfId="0" applyNumberFormat="1" applyFont="1" applyBorder="1"/>
    <xf numFmtId="3" fontId="7" fillId="0" borderId="59" xfId="0" applyNumberFormat="1" applyFont="1" applyBorder="1"/>
    <xf numFmtId="177" fontId="33" fillId="0" borderId="0" xfId="1" applyNumberFormat="1" applyFont="1"/>
    <xf numFmtId="177" fontId="36" fillId="0" borderId="0" xfId="1" applyNumberFormat="1" applyFont="1"/>
    <xf numFmtId="177" fontId="36" fillId="0" borderId="57" xfId="1" applyNumberFormat="1" applyFont="1" applyBorder="1" applyAlignment="1">
      <alignment horizontal="right"/>
    </xf>
    <xf numFmtId="177" fontId="36" fillId="0" borderId="58" xfId="1" applyNumberFormat="1" applyFont="1" applyBorder="1" applyAlignment="1">
      <alignment horizontal="right"/>
    </xf>
    <xf numFmtId="177" fontId="36" fillId="0" borderId="58" xfId="1" applyNumberFormat="1" applyFont="1" applyBorder="1" applyAlignment="1">
      <alignment horizontal="right" wrapText="1"/>
    </xf>
    <xf numFmtId="177" fontId="36" fillId="0" borderId="59" xfId="1" applyNumberFormat="1" applyFont="1" applyBorder="1" applyAlignment="1">
      <alignment horizontal="right"/>
    </xf>
    <xf numFmtId="165" fontId="59" fillId="0" borderId="0" xfId="1" applyNumberFormat="1" applyFont="1"/>
    <xf numFmtId="177" fontId="33" fillId="0" borderId="42" xfId="1" applyNumberFormat="1" applyFont="1" applyBorder="1" applyAlignment="1">
      <alignment wrapText="1"/>
    </xf>
    <xf numFmtId="0" fontId="7" fillId="0" borderId="37" xfId="0" applyFont="1" applyBorder="1"/>
    <xf numFmtId="0" fontId="0" fillId="0" borderId="41" xfId="0" applyBorder="1" applyAlignment="1">
      <alignment horizontal="right"/>
    </xf>
    <xf numFmtId="168" fontId="0" fillId="0" borderId="41" xfId="0" applyNumberFormat="1" applyBorder="1"/>
    <xf numFmtId="168" fontId="0" fillId="0" borderId="42" xfId="0" applyNumberFormat="1" applyBorder="1"/>
    <xf numFmtId="168" fontId="0" fillId="0" borderId="60" xfId="0" applyNumberFormat="1" applyBorder="1"/>
    <xf numFmtId="168" fontId="7" fillId="0" borderId="60" xfId="0" applyNumberFormat="1" applyFont="1" applyBorder="1"/>
    <xf numFmtId="0" fontId="0" fillId="0" borderId="57" xfId="0" applyBorder="1"/>
    <xf numFmtId="0" fontId="0" fillId="0" borderId="59" xfId="0" applyBorder="1"/>
    <xf numFmtId="0" fontId="7" fillId="0" borderId="0" xfId="0" applyFont="1" applyFill="1" applyBorder="1" applyAlignment="1">
      <alignment horizontal="center" vertical="center" wrapText="1"/>
    </xf>
    <xf numFmtId="165" fontId="0" fillId="0" borderId="54" xfId="1" applyFont="1" applyBorder="1" applyAlignment="1">
      <alignment wrapText="1"/>
    </xf>
    <xf numFmtId="165" fontId="0" fillId="0" borderId="0" xfId="1" applyFont="1" applyBorder="1" applyAlignment="1">
      <alignment wrapText="1"/>
    </xf>
    <xf numFmtId="165" fontId="0" fillId="0" borderId="0" xfId="1" applyFont="1" applyAlignment="1"/>
    <xf numFmtId="0" fontId="23" fillId="5" borderId="76" xfId="0" applyFont="1" applyFill="1" applyBorder="1" applyAlignment="1">
      <alignment vertical="center" wrapText="1"/>
    </xf>
    <xf numFmtId="177" fontId="0" fillId="3" borderId="0" xfId="1" applyNumberFormat="1" applyFont="1" applyFill="1"/>
    <xf numFmtId="0" fontId="23" fillId="5" borderId="36" xfId="0" applyFont="1" applyFill="1" applyBorder="1" applyAlignment="1">
      <alignment horizontal="right" vertical="center" wrapText="1"/>
    </xf>
    <xf numFmtId="0" fontId="23" fillId="5" borderId="33" xfId="0" applyFont="1" applyFill="1" applyBorder="1" applyAlignment="1">
      <alignment horizontal="right" vertical="center" wrapText="1"/>
    </xf>
    <xf numFmtId="177" fontId="23" fillId="5" borderId="33" xfId="1" applyNumberFormat="1" applyFont="1" applyFill="1" applyBorder="1" applyAlignment="1">
      <alignment horizontal="right" vertical="center" wrapText="1"/>
    </xf>
    <xf numFmtId="0" fontId="23" fillId="5" borderId="128" xfId="0" applyFont="1" applyFill="1" applyBorder="1" applyAlignment="1">
      <alignment vertical="top" wrapText="1"/>
    </xf>
    <xf numFmtId="0" fontId="23" fillId="5" borderId="40" xfId="0" applyFont="1" applyFill="1" applyBorder="1" applyAlignment="1">
      <alignment horizontal="right" vertical="center" wrapText="1"/>
    </xf>
    <xf numFmtId="0" fontId="23" fillId="5" borderId="129" xfId="0" applyFont="1" applyFill="1" applyBorder="1" applyAlignment="1">
      <alignment vertical="top" wrapText="1"/>
    </xf>
    <xf numFmtId="0" fontId="23" fillId="5" borderId="129" xfId="0" applyFont="1" applyFill="1" applyBorder="1" applyAlignment="1">
      <alignment vertical="center" wrapText="1"/>
    </xf>
    <xf numFmtId="0" fontId="23" fillId="5" borderId="130" xfId="0" applyFont="1" applyFill="1" applyBorder="1" applyAlignment="1">
      <alignment horizontal="center" vertical="center" wrapText="1"/>
    </xf>
    <xf numFmtId="0" fontId="23" fillId="5" borderId="131" xfId="0" applyFont="1" applyFill="1" applyBorder="1" applyAlignment="1">
      <alignment vertical="center" wrapText="1"/>
    </xf>
    <xf numFmtId="0" fontId="51" fillId="32" borderId="0" xfId="0" applyFont="1" applyFill="1"/>
    <xf numFmtId="177" fontId="80" fillId="0" borderId="0" xfId="1" applyNumberFormat="1" applyFont="1"/>
    <xf numFmtId="0" fontId="80" fillId="0" borderId="0" xfId="0" applyFont="1"/>
    <xf numFmtId="177" fontId="80" fillId="0" borderId="36" xfId="1" applyNumberFormat="1" applyFont="1" applyBorder="1"/>
    <xf numFmtId="0" fontId="76" fillId="0" borderId="34" xfId="0" applyFont="1" applyBorder="1"/>
    <xf numFmtId="177" fontId="80" fillId="0" borderId="34" xfId="1" applyNumberFormat="1" applyFont="1" applyBorder="1"/>
    <xf numFmtId="0" fontId="80" fillId="0" borderId="37" xfId="0" applyFont="1" applyBorder="1"/>
    <xf numFmtId="177" fontId="76" fillId="0" borderId="40" xfId="1" applyNumberFormat="1" applyFont="1" applyBorder="1"/>
    <xf numFmtId="0" fontId="76" fillId="0" borderId="0" xfId="0" applyFont="1" applyBorder="1"/>
    <xf numFmtId="177" fontId="76" fillId="0" borderId="0" xfId="1" applyNumberFormat="1" applyFont="1" applyBorder="1"/>
    <xf numFmtId="0" fontId="80" fillId="0" borderId="27" xfId="0" applyFont="1" applyBorder="1"/>
    <xf numFmtId="177" fontId="76" fillId="0" borderId="52" xfId="1" applyNumberFormat="1" applyFont="1" applyBorder="1"/>
    <xf numFmtId="0" fontId="76" fillId="0" borderId="54" xfId="0" applyFont="1" applyBorder="1"/>
    <xf numFmtId="177" fontId="76" fillId="0" borderId="54" xfId="1" applyNumberFormat="1" applyFont="1" applyBorder="1"/>
    <xf numFmtId="0" fontId="80" fillId="0" borderId="83" xfId="0" applyFont="1" applyBorder="1"/>
    <xf numFmtId="0" fontId="80" fillId="0" borderId="59" xfId="0" applyFont="1" applyBorder="1" applyAlignment="1">
      <alignment wrapText="1"/>
    </xf>
    <xf numFmtId="0" fontId="80" fillId="0" borderId="58" xfId="0" applyFont="1" applyBorder="1" applyAlignment="1">
      <alignment horizontal="right" wrapText="1"/>
    </xf>
    <xf numFmtId="0" fontId="76" fillId="0" borderId="57" xfId="0" applyFont="1" applyBorder="1"/>
    <xf numFmtId="0" fontId="7" fillId="0" borderId="36" xfId="0" applyFont="1" applyBorder="1"/>
    <xf numFmtId="0" fontId="7" fillId="0" borderId="34" xfId="0" applyFont="1" applyBorder="1"/>
    <xf numFmtId="0" fontId="58" fillId="32" borderId="0" xfId="0" applyFont="1" applyFill="1"/>
    <xf numFmtId="177" fontId="7" fillId="0" borderId="59" xfId="1" applyNumberFormat="1" applyFont="1" applyBorder="1"/>
    <xf numFmtId="177" fontId="7" fillId="0" borderId="58" xfId="1" applyNumberFormat="1" applyFont="1" applyBorder="1"/>
    <xf numFmtId="177" fontId="0" fillId="3" borderId="34" xfId="1" applyNumberFormat="1" applyFont="1" applyFill="1" applyBorder="1"/>
    <xf numFmtId="177" fontId="0" fillId="3" borderId="0" xfId="1" applyNumberFormat="1" applyFont="1" applyFill="1" applyBorder="1"/>
    <xf numFmtId="177" fontId="0" fillId="0" borderId="0" xfId="1" applyNumberFormat="1" applyFont="1" applyFill="1" applyBorder="1"/>
    <xf numFmtId="0" fontId="0" fillId="0" borderId="59" xfId="0" applyBorder="1" applyAlignment="1">
      <alignment horizontal="right" wrapText="1"/>
    </xf>
    <xf numFmtId="0" fontId="0" fillId="0" borderId="58" xfId="0" applyBorder="1" applyAlignment="1">
      <alignment horizontal="right" wrapText="1"/>
    </xf>
    <xf numFmtId="0" fontId="0" fillId="0" borderId="57" xfId="0" applyBorder="1" applyAlignment="1">
      <alignment horizontal="right" wrapText="1"/>
    </xf>
    <xf numFmtId="0" fontId="58" fillId="32" borderId="52" xfId="0" applyFont="1" applyFill="1" applyBorder="1"/>
    <xf numFmtId="0" fontId="58" fillId="32" borderId="54" xfId="0" applyFont="1" applyFill="1" applyBorder="1"/>
    <xf numFmtId="0" fontId="58" fillId="32" borderId="83" xfId="0" applyFont="1" applyFill="1" applyBorder="1"/>
    <xf numFmtId="3" fontId="36" fillId="0" borderId="36" xfId="0" applyNumberFormat="1" applyFont="1" applyBorder="1" applyAlignment="1">
      <alignment horizontal="right" vertical="top" wrapText="1"/>
    </xf>
    <xf numFmtId="0" fontId="36" fillId="0" borderId="37" xfId="0" applyFont="1" applyBorder="1" applyAlignment="1">
      <alignment horizontal="left" vertical="top" wrapText="1"/>
    </xf>
    <xf numFmtId="3" fontId="33" fillId="0" borderId="40" xfId="0" applyNumberFormat="1" applyFont="1" applyBorder="1" applyAlignment="1">
      <alignment horizontal="right" vertical="top" wrapText="1"/>
    </xf>
    <xf numFmtId="0" fontId="33" fillId="0" borderId="27" xfId="0" applyFont="1" applyBorder="1" applyAlignment="1">
      <alignment vertical="top" wrapText="1"/>
    </xf>
    <xf numFmtId="3" fontId="33" fillId="0" borderId="52" xfId="0" applyNumberFormat="1" applyFont="1" applyBorder="1" applyAlignment="1">
      <alignment horizontal="right" vertical="top" wrapText="1"/>
    </xf>
    <xf numFmtId="0" fontId="33" fillId="0" borderId="83" xfId="0" applyFont="1" applyBorder="1" applyAlignment="1">
      <alignment vertical="top" wrapText="1"/>
    </xf>
    <xf numFmtId="0" fontId="36" fillId="0" borderId="59" xfId="0" applyFont="1" applyBorder="1" applyAlignment="1">
      <alignment horizontal="right" wrapText="1"/>
    </xf>
    <xf numFmtId="0" fontId="36" fillId="0" borderId="57" xfId="0" applyFont="1" applyBorder="1" applyAlignment="1">
      <alignment wrapText="1"/>
    </xf>
    <xf numFmtId="177" fontId="7" fillId="0" borderId="36" xfId="1" applyNumberFormat="1" applyFont="1" applyBorder="1"/>
    <xf numFmtId="0" fontId="0" fillId="3" borderId="40" xfId="0" applyFill="1" applyBorder="1"/>
    <xf numFmtId="0" fontId="33" fillId="0" borderId="40" xfId="0" applyFont="1" applyBorder="1" applyAlignment="1">
      <alignment horizontal="right" vertical="top" wrapText="1"/>
    </xf>
    <xf numFmtId="0" fontId="36" fillId="0" borderId="57" xfId="0" applyFont="1" applyBorder="1" applyAlignment="1">
      <alignment vertical="top" wrapText="1"/>
    </xf>
    <xf numFmtId="0" fontId="68" fillId="0" borderId="0" xfId="0" applyFont="1" applyAlignment="1">
      <alignment horizontal="center"/>
    </xf>
    <xf numFmtId="0" fontId="0" fillId="0" borderId="0" xfId="0" applyAlignment="1"/>
    <xf numFmtId="3" fontId="80" fillId="0" borderId="59" xfId="0" applyNumberFormat="1" applyFont="1" applyBorder="1" applyAlignment="1">
      <alignment horizontal="right" indent="2"/>
    </xf>
    <xf numFmtId="0" fontId="80" fillId="0" borderId="57" xfId="0" applyFont="1" applyBorder="1" applyAlignment="1">
      <alignment horizontal="left"/>
    </xf>
    <xf numFmtId="3" fontId="76" fillId="0" borderId="36" xfId="0" applyNumberFormat="1" applyFont="1" applyBorder="1" applyAlignment="1">
      <alignment horizontal="right" indent="2"/>
    </xf>
    <xf numFmtId="3" fontId="76" fillId="0" borderId="40" xfId="0" applyNumberFormat="1" applyFont="1" applyBorder="1" applyAlignment="1">
      <alignment horizontal="right" indent="2"/>
    </xf>
    <xf numFmtId="0" fontId="76" fillId="0" borderId="27" xfId="0" applyFont="1" applyBorder="1" applyAlignment="1">
      <alignment horizontal="left" wrapText="1"/>
    </xf>
    <xf numFmtId="0" fontId="76" fillId="0" borderId="27" xfId="0" applyFont="1" applyBorder="1" applyAlignment="1">
      <alignment horizontal="left"/>
    </xf>
    <xf numFmtId="3" fontId="76" fillId="0" borderId="52" xfId="0" applyNumberFormat="1" applyFont="1" applyBorder="1" applyAlignment="1">
      <alignment horizontal="right" indent="2"/>
    </xf>
    <xf numFmtId="0" fontId="76" fillId="0" borderId="83" xfId="0" applyFont="1" applyBorder="1" applyAlignment="1">
      <alignment horizontal="left"/>
    </xf>
    <xf numFmtId="0" fontId="80" fillId="0" borderId="0" xfId="0" applyFont="1" applyAlignment="1">
      <alignment horizontal="left" indent="5"/>
    </xf>
    <xf numFmtId="0" fontId="7" fillId="0" borderId="57" xfId="0" applyFont="1" applyFill="1" applyBorder="1"/>
    <xf numFmtId="0" fontId="7" fillId="0" borderId="58" xfId="0" applyFont="1" applyFill="1" applyBorder="1" applyAlignment="1">
      <alignment horizontal="right"/>
    </xf>
    <xf numFmtId="0" fontId="7" fillId="0" borderId="59" xfId="0" applyFont="1" applyFill="1" applyBorder="1" applyAlignment="1">
      <alignment horizontal="right"/>
    </xf>
    <xf numFmtId="0" fontId="0" fillId="0" borderId="0" xfId="0" applyAlignment="1">
      <alignment vertical="top" wrapText="1"/>
    </xf>
    <xf numFmtId="0" fontId="7" fillId="0" borderId="0" xfId="0" applyFont="1" applyAlignment="1">
      <alignment horizontal="right" wrapText="1"/>
    </xf>
    <xf numFmtId="165" fontId="51" fillId="0" borderId="27" xfId="1" applyFont="1" applyFill="1" applyBorder="1" applyAlignment="1">
      <alignment wrapText="1"/>
    </xf>
    <xf numFmtId="165" fontId="51" fillId="0" borderId="0" xfId="1" applyFont="1" applyFill="1" applyAlignment="1">
      <alignment wrapText="1"/>
    </xf>
    <xf numFmtId="165" fontId="6" fillId="0" borderId="0" xfId="1" applyFont="1" applyFill="1" applyAlignment="1">
      <alignment wrapText="1"/>
    </xf>
    <xf numFmtId="165" fontId="7" fillId="0" borderId="83" xfId="1" applyFont="1" applyBorder="1" applyAlignment="1">
      <alignment horizontal="right" wrapText="1"/>
    </xf>
    <xf numFmtId="165" fontId="6" fillId="0" borderId="60" xfId="1" applyFont="1" applyFill="1" applyBorder="1" applyAlignment="1">
      <alignment wrapText="1"/>
    </xf>
    <xf numFmtId="174" fontId="0" fillId="0" borderId="0" xfId="0" applyNumberFormat="1"/>
    <xf numFmtId="174" fontId="7" fillId="0" borderId="0" xfId="0" applyNumberFormat="1" applyFont="1"/>
    <xf numFmtId="165" fontId="0" fillId="0" borderId="57" xfId="1" applyFont="1" applyBorder="1"/>
    <xf numFmtId="165" fontId="0" fillId="0" borderId="58" xfId="1" applyFont="1" applyBorder="1"/>
    <xf numFmtId="165" fontId="0" fillId="0" borderId="59" xfId="1" applyFont="1" applyBorder="1"/>
    <xf numFmtId="183" fontId="0" fillId="0" borderId="1" xfId="1" applyNumberFormat="1" applyFont="1" applyBorder="1"/>
    <xf numFmtId="183" fontId="0" fillId="0" borderId="58" xfId="1" applyNumberFormat="1" applyFont="1" applyBorder="1"/>
    <xf numFmtId="183" fontId="0" fillId="33" borderId="58" xfId="1" applyNumberFormat="1" applyFont="1" applyFill="1" applyBorder="1"/>
    <xf numFmtId="183" fontId="0" fillId="33" borderId="59" xfId="1" applyNumberFormat="1" applyFont="1" applyFill="1" applyBorder="1"/>
    <xf numFmtId="165" fontId="6" fillId="33" borderId="60" xfId="1" applyFont="1" applyFill="1" applyBorder="1" applyAlignment="1">
      <alignment wrapText="1"/>
    </xf>
    <xf numFmtId="165" fontId="7" fillId="33" borderId="1" xfId="1" applyFont="1" applyFill="1" applyBorder="1" applyAlignment="1">
      <alignment horizontal="right" wrapText="1"/>
    </xf>
    <xf numFmtId="183" fontId="6" fillId="33" borderId="58" xfId="1" applyNumberFormat="1" applyFont="1" applyFill="1" applyBorder="1" applyAlignment="1">
      <alignment wrapText="1"/>
    </xf>
    <xf numFmtId="165" fontId="0" fillId="33" borderId="0" xfId="1" applyFont="1" applyFill="1" applyBorder="1"/>
    <xf numFmtId="165" fontId="0" fillId="33" borderId="40" xfId="1" applyFont="1" applyFill="1" applyBorder="1"/>
    <xf numFmtId="165" fontId="0" fillId="0" borderId="37" xfId="1" applyFont="1" applyBorder="1" applyAlignment="1">
      <alignment wrapText="1"/>
    </xf>
    <xf numFmtId="165" fontId="0" fillId="33" borderId="34" xfId="1" applyFont="1" applyFill="1" applyBorder="1"/>
    <xf numFmtId="165" fontId="0" fillId="33" borderId="36" xfId="1" applyFont="1" applyFill="1" applyBorder="1"/>
    <xf numFmtId="165" fontId="6" fillId="0" borderId="41" xfId="1" applyFont="1" applyFill="1" applyBorder="1" applyAlignment="1">
      <alignment wrapText="1"/>
    </xf>
    <xf numFmtId="165" fontId="6" fillId="33" borderId="41" xfId="1" applyFont="1" applyFill="1" applyBorder="1" applyAlignment="1">
      <alignment wrapText="1"/>
    </xf>
    <xf numFmtId="165" fontId="0" fillId="33" borderId="54" xfId="1" applyFont="1" applyFill="1" applyBorder="1"/>
    <xf numFmtId="165" fontId="0" fillId="33" borderId="52" xfId="1" applyFont="1" applyFill="1" applyBorder="1"/>
    <xf numFmtId="165" fontId="0" fillId="0" borderId="83" xfId="1" applyFont="1" applyBorder="1" applyAlignment="1">
      <alignment wrapText="1"/>
    </xf>
    <xf numFmtId="0" fontId="0" fillId="0" borderId="54" xfId="0" applyBorder="1" applyAlignment="1">
      <alignment horizontal="right"/>
    </xf>
    <xf numFmtId="0" fontId="17" fillId="0" borderId="0" xfId="0" applyFont="1"/>
    <xf numFmtId="165" fontId="57" fillId="0" borderId="0" xfId="0" applyNumberFormat="1" applyFont="1"/>
    <xf numFmtId="0" fontId="7" fillId="0" borderId="0" xfId="0" applyFont="1" applyFill="1" applyBorder="1" applyAlignment="1">
      <alignment vertical="top" wrapText="1"/>
    </xf>
    <xf numFmtId="172" fontId="0" fillId="0" borderId="0" xfId="596" applyNumberFormat="1" applyFont="1" applyBorder="1"/>
    <xf numFmtId="172" fontId="0" fillId="0" borderId="40" xfId="596" applyNumberFormat="1" applyFont="1" applyBorder="1"/>
    <xf numFmtId="177" fontId="0" fillId="34" borderId="0" xfId="1" applyNumberFormat="1" applyFont="1" applyFill="1" applyBorder="1"/>
    <xf numFmtId="177" fontId="0" fillId="34" borderId="40" xfId="1" applyNumberFormat="1" applyFont="1" applyFill="1" applyBorder="1"/>
    <xf numFmtId="165" fontId="0" fillId="0" borderId="27" xfId="1" applyFont="1" applyBorder="1" applyAlignment="1"/>
    <xf numFmtId="165" fontId="0" fillId="0" borderId="0" xfId="1" applyFont="1" applyBorder="1" applyAlignment="1"/>
    <xf numFmtId="165" fontId="0" fillId="0" borderId="40" xfId="1" applyFont="1" applyBorder="1" applyAlignment="1"/>
    <xf numFmtId="0" fontId="8" fillId="0" borderId="83" xfId="0" applyFont="1" applyFill="1" applyBorder="1" applyAlignment="1">
      <alignment vertical="center"/>
    </xf>
    <xf numFmtId="0" fontId="59" fillId="0" borderId="54" xfId="0" applyFont="1" applyFill="1" applyBorder="1" applyAlignment="1">
      <alignment vertical="center"/>
    </xf>
    <xf numFmtId="0" fontId="8" fillId="0" borderId="27" xfId="0" applyFont="1" applyFill="1" applyBorder="1" applyAlignment="1">
      <alignment vertical="center"/>
    </xf>
    <xf numFmtId="0" fontId="59" fillId="0" borderId="34" xfId="0" applyFont="1" applyFill="1" applyBorder="1"/>
    <xf numFmtId="0" fontId="59" fillId="0" borderId="41" xfId="0" applyFont="1" applyBorder="1" applyAlignment="1">
      <alignment wrapText="1"/>
    </xf>
    <xf numFmtId="0" fontId="59" fillId="0" borderId="42" xfId="0" applyFont="1" applyFill="1" applyBorder="1" applyAlignment="1">
      <alignment wrapText="1"/>
    </xf>
    <xf numFmtId="0" fontId="59" fillId="0" borderId="60" xfId="0" applyFont="1" applyFill="1" applyBorder="1" applyAlignment="1">
      <alignment wrapText="1"/>
    </xf>
    <xf numFmtId="3" fontId="0" fillId="0" borderId="27" xfId="0" applyNumberFormat="1" applyFill="1" applyBorder="1" applyAlignment="1">
      <alignment vertical="center" wrapText="1"/>
    </xf>
    <xf numFmtId="3" fontId="0" fillId="0" borderId="83" xfId="0" applyNumberFormat="1" applyFill="1" applyBorder="1" applyAlignment="1">
      <alignment vertical="center" wrapText="1"/>
    </xf>
    <xf numFmtId="0" fontId="0" fillId="0" borderId="52" xfId="0" applyFill="1" applyBorder="1" applyAlignment="1">
      <alignment wrapText="1"/>
    </xf>
    <xf numFmtId="177" fontId="0" fillId="0" borderId="40" xfId="1" applyNumberFormat="1" applyFont="1" applyFill="1" applyBorder="1" applyAlignment="1">
      <alignment wrapText="1"/>
    </xf>
    <xf numFmtId="3" fontId="0" fillId="0" borderId="37" xfId="0" applyNumberFormat="1" applyFill="1" applyBorder="1" applyAlignment="1">
      <alignment vertical="center" wrapText="1"/>
    </xf>
    <xf numFmtId="177" fontId="0" fillId="0" borderId="36" xfId="1" applyNumberFormat="1" applyFont="1" applyFill="1" applyBorder="1" applyAlignment="1">
      <alignment wrapText="1"/>
    </xf>
    <xf numFmtId="3" fontId="7" fillId="0" borderId="0" xfId="0" applyNumberFormat="1" applyFont="1" applyBorder="1"/>
    <xf numFmtId="0" fontId="85" fillId="0" borderId="17" xfId="0" applyFont="1" applyBorder="1" applyAlignment="1">
      <alignment vertical="top"/>
    </xf>
    <xf numFmtId="0" fontId="85" fillId="0" borderId="58" xfId="0" applyFont="1" applyBorder="1" applyAlignment="1">
      <alignment vertical="top"/>
    </xf>
    <xf numFmtId="0" fontId="85" fillId="0" borderId="21" xfId="0" applyFont="1" applyBorder="1" applyAlignment="1">
      <alignment vertical="top" wrapText="1"/>
    </xf>
    <xf numFmtId="0" fontId="85" fillId="0" borderId="3" xfId="0" applyFont="1" applyBorder="1" applyAlignment="1">
      <alignment vertical="top"/>
    </xf>
    <xf numFmtId="0" fontId="85" fillId="0" borderId="3" xfId="0" applyFont="1" applyBorder="1" applyAlignment="1">
      <alignment vertical="top" wrapText="1"/>
    </xf>
    <xf numFmtId="0" fontId="85" fillId="0" borderId="4" xfId="0" applyFont="1" applyBorder="1" applyAlignment="1">
      <alignment vertical="top" wrapText="1"/>
    </xf>
    <xf numFmtId="0" fontId="85" fillId="0" borderId="88" xfId="0" applyFont="1" applyBorder="1" applyAlignment="1">
      <alignment vertical="top"/>
    </xf>
    <xf numFmtId="0" fontId="85" fillId="0" borderId="0" xfId="0" applyFont="1" applyBorder="1" applyAlignment="1">
      <alignment vertical="top"/>
    </xf>
    <xf numFmtId="0" fontId="85" fillId="0" borderId="122" xfId="0" applyFont="1" applyBorder="1" applyAlignment="1">
      <alignment vertical="top" wrapText="1"/>
    </xf>
    <xf numFmtId="0" fontId="85" fillId="0" borderId="25" xfId="0" applyFont="1" applyBorder="1" applyAlignment="1">
      <alignment vertical="top"/>
    </xf>
    <xf numFmtId="0" fontId="85" fillId="0" borderId="7" xfId="0" applyFont="1" applyBorder="1" applyAlignment="1">
      <alignment vertical="top" wrapText="1"/>
    </xf>
    <xf numFmtId="0" fontId="85" fillId="0" borderId="100" xfId="0" applyFont="1" applyBorder="1" applyAlignment="1">
      <alignment vertical="top"/>
    </xf>
    <xf numFmtId="0" fontId="0" fillId="0" borderId="103" xfId="0" applyBorder="1"/>
    <xf numFmtId="177" fontId="45" fillId="0" borderId="103" xfId="1" applyNumberFormat="1" applyFont="1" applyBorder="1"/>
    <xf numFmtId="177" fontId="6" fillId="0" borderId="103" xfId="1" applyNumberFormat="1" applyFont="1" applyBorder="1"/>
    <xf numFmtId="177" fontId="45" fillId="0" borderId="106" xfId="1" applyNumberFormat="1" applyFont="1" applyBorder="1"/>
    <xf numFmtId="0" fontId="0" fillId="0" borderId="123" xfId="0" applyBorder="1"/>
    <xf numFmtId="177" fontId="86" fillId="0" borderId="103" xfId="1" applyNumberFormat="1" applyFont="1" applyBorder="1"/>
    <xf numFmtId="177" fontId="85" fillId="0" borderId="103" xfId="1" applyNumberFormat="1" applyFont="1" applyBorder="1"/>
    <xf numFmtId="177" fontId="45" fillId="0" borderId="7" xfId="1" applyNumberFormat="1" applyFont="1" applyBorder="1"/>
    <xf numFmtId="0" fontId="0" fillId="0" borderId="124" xfId="0" applyBorder="1"/>
    <xf numFmtId="0" fontId="0" fillId="0" borderId="107" xfId="0" applyBorder="1"/>
    <xf numFmtId="177" fontId="45" fillId="0" borderId="107" xfId="1" applyNumberFormat="1" applyFont="1" applyBorder="1"/>
    <xf numFmtId="177" fontId="85" fillId="0" borderId="108" xfId="1" applyNumberFormat="1" applyFont="1" applyBorder="1"/>
    <xf numFmtId="177" fontId="85" fillId="0" borderId="0" xfId="0" applyNumberFormat="1" applyFont="1"/>
    <xf numFmtId="177" fontId="45" fillId="0" borderId="0" xfId="1" applyNumberFormat="1" applyFont="1" applyFill="1" applyBorder="1"/>
    <xf numFmtId="177" fontId="45" fillId="0" borderId="0" xfId="1" applyNumberFormat="1" applyFont="1"/>
    <xf numFmtId="177" fontId="45" fillId="0" borderId="0" xfId="1" applyNumberFormat="1" applyFont="1" applyAlignment="1">
      <alignment vertical="top" wrapText="1"/>
    </xf>
    <xf numFmtId="177" fontId="45" fillId="0" borderId="0" xfId="1" applyNumberFormat="1" applyFont="1" applyAlignment="1">
      <alignment vertical="top"/>
    </xf>
    <xf numFmtId="177" fontId="85" fillId="0" borderId="0" xfId="1" applyNumberFormat="1" applyFont="1"/>
    <xf numFmtId="177" fontId="85" fillId="0" borderId="0" xfId="0" applyNumberFormat="1" applyFont="1" applyAlignment="1">
      <alignment vertical="top"/>
    </xf>
    <xf numFmtId="177" fontId="85" fillId="3" borderId="0" xfId="0" applyNumberFormat="1" applyFont="1" applyFill="1"/>
    <xf numFmtId="0" fontId="0" fillId="0" borderId="0" xfId="0" applyAlignment="1">
      <alignment wrapText="1"/>
    </xf>
    <xf numFmtId="0" fontId="0" fillId="0" borderId="0" xfId="0" applyAlignment="1">
      <alignment vertical="top" wrapText="1"/>
    </xf>
    <xf numFmtId="0" fontId="0" fillId="0" borderId="36" xfId="0" applyBorder="1" applyAlignment="1">
      <alignment vertical="top" wrapText="1"/>
    </xf>
    <xf numFmtId="3" fontId="0" fillId="0" borderId="0" xfId="0" applyNumberFormat="1" applyFill="1" applyAlignment="1">
      <alignment wrapText="1"/>
    </xf>
    <xf numFmtId="177" fontId="0" fillId="0" borderId="0" xfId="0" applyNumberFormat="1" applyFill="1" applyAlignment="1">
      <alignment horizontal="right" wrapText="1"/>
    </xf>
    <xf numFmtId="177" fontId="0" fillId="0" borderId="103" xfId="1" applyNumberFormat="1" applyFont="1" applyBorder="1" applyAlignment="1">
      <alignment horizontal="center" wrapText="1"/>
    </xf>
    <xf numFmtId="177" fontId="11" fillId="0" borderId="103" xfId="1" applyNumberFormat="1" applyFont="1" applyBorder="1" applyAlignment="1">
      <alignment horizontal="center"/>
    </xf>
    <xf numFmtId="177" fontId="11" fillId="3" borderId="103" xfId="1" applyNumberFormat="1" applyFont="1" applyFill="1" applyBorder="1" applyAlignment="1">
      <alignment horizontal="center"/>
    </xf>
    <xf numFmtId="177" fontId="0" fillId="0" borderId="116" xfId="1" applyNumberFormat="1" applyFont="1" applyBorder="1"/>
    <xf numFmtId="177" fontId="0" fillId="0" borderId="25" xfId="1" applyNumberFormat="1" applyFont="1" applyBorder="1"/>
    <xf numFmtId="0" fontId="0" fillId="0" borderId="0" xfId="0" applyAlignment="1">
      <alignment horizontal="right" vertical="top" wrapText="1"/>
    </xf>
    <xf numFmtId="0" fontId="0" fillId="0" borderId="0" xfId="0" applyFont="1" applyBorder="1"/>
    <xf numFmtId="177" fontId="0" fillId="0" borderId="0" xfId="0" applyNumberFormat="1" applyFont="1" applyBorder="1"/>
    <xf numFmtId="0" fontId="7" fillId="0" borderId="54" xfId="0" applyFont="1" applyBorder="1" applyAlignment="1">
      <alignment horizontal="center" wrapText="1"/>
    </xf>
    <xf numFmtId="0" fontId="0" fillId="0" borderId="83" xfId="0" applyFont="1" applyBorder="1" applyAlignment="1">
      <alignment horizontal="center"/>
    </xf>
    <xf numFmtId="0" fontId="0" fillId="0" borderId="54" xfId="0" quotePrefix="1" applyBorder="1" applyAlignment="1">
      <alignment horizontal="center"/>
    </xf>
    <xf numFmtId="177" fontId="0" fillId="0" borderId="52" xfId="0" applyNumberFormat="1" applyFont="1" applyBorder="1"/>
    <xf numFmtId="0" fontId="0" fillId="0" borderId="27" xfId="0" applyFont="1" applyBorder="1" applyAlignment="1">
      <alignment horizontal="center"/>
    </xf>
    <xf numFmtId="0" fontId="0" fillId="0" borderId="57" xfId="0" applyFont="1" applyBorder="1"/>
    <xf numFmtId="0" fontId="7" fillId="0" borderId="83" xfId="0" applyFont="1" applyBorder="1" applyAlignment="1">
      <alignment horizontal="center" wrapText="1"/>
    </xf>
    <xf numFmtId="0" fontId="0" fillId="0" borderId="54" xfId="0" applyBorder="1" applyAlignment="1">
      <alignment horizontal="right" wrapText="1"/>
    </xf>
    <xf numFmtId="0" fontId="0" fillId="0" borderId="52" xfId="0" applyBorder="1" applyAlignment="1">
      <alignment horizontal="right" wrapText="1"/>
    </xf>
    <xf numFmtId="177" fontId="0" fillId="0" borderId="0" xfId="0" applyNumberFormat="1" applyAlignment="1">
      <alignment vertical="top" wrapText="1"/>
    </xf>
    <xf numFmtId="0" fontId="7" fillId="0" borderId="54" xfId="0" applyFont="1" applyBorder="1" applyAlignment="1">
      <alignment horizontal="right"/>
    </xf>
    <xf numFmtId="0" fontId="7" fillId="0" borderId="52" xfId="0" applyFont="1" applyBorder="1"/>
    <xf numFmtId="3" fontId="7" fillId="0" borderId="34" xfId="0" applyNumberFormat="1" applyFont="1" applyBorder="1" applyAlignment="1">
      <alignment vertical="top" wrapText="1"/>
    </xf>
    <xf numFmtId="3" fontId="0" fillId="0" borderId="58" xfId="0" applyNumberFormat="1" applyBorder="1" applyAlignment="1">
      <alignment horizontal="right" vertical="center" wrapText="1"/>
    </xf>
    <xf numFmtId="0" fontId="0" fillId="0" borderId="59" xfId="0" applyBorder="1" applyAlignment="1">
      <alignment vertical="top" wrapText="1"/>
    </xf>
    <xf numFmtId="177" fontId="0" fillId="0" borderId="58" xfId="1" applyNumberFormat="1" applyFont="1" applyBorder="1" applyAlignment="1">
      <alignment vertical="top" wrapText="1"/>
    </xf>
    <xf numFmtId="0" fontId="0" fillId="0" borderId="34" xfId="0" applyBorder="1" applyAlignment="1">
      <alignment horizontal="center" vertical="center" wrapText="1"/>
    </xf>
    <xf numFmtId="0" fontId="53" fillId="36" borderId="0" xfId="0" applyFont="1" applyFill="1"/>
    <xf numFmtId="0" fontId="53" fillId="36" borderId="0" xfId="0" applyFont="1" applyFill="1" applyAlignment="1">
      <alignment vertical="top"/>
    </xf>
    <xf numFmtId="0" fontId="54" fillId="36" borderId="0" xfId="0" applyFont="1" applyFill="1" applyAlignment="1">
      <alignment vertical="top"/>
    </xf>
    <xf numFmtId="0" fontId="41" fillId="36" borderId="0" xfId="0" applyFont="1" applyFill="1" applyAlignment="1">
      <alignment vertical="top"/>
    </xf>
    <xf numFmtId="0" fontId="84" fillId="36" borderId="0" xfId="0" applyFont="1" applyFill="1"/>
    <xf numFmtId="0" fontId="0" fillId="36" borderId="0" xfId="0" applyFill="1"/>
    <xf numFmtId="0" fontId="78" fillId="36" borderId="0" xfId="0" applyFont="1" applyFill="1"/>
    <xf numFmtId="0" fontId="37" fillId="0" borderId="0" xfId="0" applyFont="1" applyFill="1"/>
    <xf numFmtId="0" fontId="0" fillId="0" borderId="0" xfId="0" applyFont="1" applyFill="1"/>
    <xf numFmtId="0" fontId="82" fillId="36" borderId="0" xfId="0" applyFont="1" applyFill="1"/>
    <xf numFmtId="0" fontId="83" fillId="36" borderId="0" xfId="0" applyFont="1" applyFill="1"/>
    <xf numFmtId="0" fontId="51" fillId="36" borderId="0" xfId="0" applyFont="1" applyFill="1"/>
    <xf numFmtId="0" fontId="83" fillId="36" borderId="0" xfId="0" applyFont="1" applyFill="1" applyBorder="1"/>
    <xf numFmtId="0" fontId="83" fillId="36" borderId="26" xfId="0" applyFont="1" applyFill="1" applyBorder="1"/>
    <xf numFmtId="0" fontId="46" fillId="36" borderId="0" xfId="0" applyFont="1" applyFill="1" applyBorder="1"/>
    <xf numFmtId="0" fontId="46" fillId="36" borderId="26" xfId="0" applyFont="1" applyFill="1" applyBorder="1"/>
    <xf numFmtId="0" fontId="53" fillId="36" borderId="0" xfId="0" applyFont="1" applyFill="1" applyAlignment="1">
      <alignment horizontal="left"/>
    </xf>
    <xf numFmtId="0" fontId="52" fillId="36" borderId="0" xfId="0" applyFont="1" applyFill="1"/>
    <xf numFmtId="0" fontId="7" fillId="0" borderId="83" xfId="0" applyFont="1" applyBorder="1" applyAlignment="1">
      <alignment horizontal="right"/>
    </xf>
    <xf numFmtId="0" fontId="0" fillId="37" borderId="0" xfId="0" applyFill="1"/>
    <xf numFmtId="177" fontId="0" fillId="37" borderId="0" xfId="1" applyNumberFormat="1" applyFont="1" applyFill="1"/>
    <xf numFmtId="177" fontId="7" fillId="0" borderId="34" xfId="1" applyNumberFormat="1" applyFont="1" applyBorder="1"/>
    <xf numFmtId="0" fontId="7" fillId="0" borderId="34" xfId="0" applyFont="1" applyBorder="1" applyAlignment="1">
      <alignment horizontal="right" wrapText="1"/>
    </xf>
    <xf numFmtId="0" fontId="75" fillId="36" borderId="0" xfId="0" applyFont="1" applyFill="1"/>
    <xf numFmtId="0" fontId="77" fillId="0" borderId="0" xfId="0" applyFont="1" applyFill="1"/>
    <xf numFmtId="0" fontId="81" fillId="36" borderId="0" xfId="0" applyFont="1" applyFill="1"/>
    <xf numFmtId="0" fontId="76" fillId="36" borderId="0" xfId="0" applyFont="1" applyFill="1"/>
    <xf numFmtId="0" fontId="13" fillId="35" borderId="0" xfId="0" applyFont="1" applyFill="1"/>
    <xf numFmtId="0" fontId="57" fillId="35" borderId="0" xfId="0" applyFont="1" applyFill="1"/>
    <xf numFmtId="0" fontId="57" fillId="35" borderId="1" xfId="0" applyFont="1" applyFill="1" applyBorder="1"/>
    <xf numFmtId="0" fontId="62" fillId="35" borderId="58" xfId="0" applyFont="1" applyFill="1" applyBorder="1" applyAlignment="1">
      <alignment horizontal="right" wrapText="1"/>
    </xf>
    <xf numFmtId="0" fontId="62" fillId="35" borderId="59" xfId="0" applyFont="1" applyFill="1" applyBorder="1" applyAlignment="1">
      <alignment horizontal="right" wrapText="1"/>
    </xf>
    <xf numFmtId="177" fontId="57" fillId="35" borderId="0" xfId="1" applyNumberFormat="1" applyFont="1" applyFill="1" applyBorder="1"/>
    <xf numFmtId="177" fontId="57" fillId="35" borderId="40" xfId="1" applyNumberFormat="1" applyFont="1" applyFill="1" applyBorder="1"/>
    <xf numFmtId="177" fontId="57" fillId="35" borderId="36" xfId="1" applyNumberFormat="1" applyFont="1" applyFill="1" applyBorder="1"/>
    <xf numFmtId="177" fontId="57" fillId="35" borderId="0" xfId="1" applyNumberFormat="1" applyFont="1" applyFill="1" applyBorder="1" applyAlignment="1">
      <alignment horizontal="right"/>
    </xf>
    <xf numFmtId="177" fontId="57" fillId="35" borderId="40" xfId="1" applyNumberFormat="1" applyFont="1" applyFill="1" applyBorder="1" applyAlignment="1">
      <alignment horizontal="right"/>
    </xf>
    <xf numFmtId="177" fontId="57" fillId="35" borderId="34" xfId="1" applyNumberFormat="1" applyFont="1" applyFill="1" applyBorder="1"/>
    <xf numFmtId="3" fontId="7" fillId="0" borderId="40" xfId="0" applyNumberFormat="1" applyFont="1" applyBorder="1"/>
    <xf numFmtId="0" fontId="7" fillId="0" borderId="52" xfId="0" applyFont="1" applyBorder="1" applyAlignment="1">
      <alignment horizontal="right" wrapText="1"/>
    </xf>
    <xf numFmtId="0" fontId="7" fillId="0" borderId="83" xfId="0" applyFont="1" applyBorder="1" applyAlignment="1">
      <alignment horizontal="right" wrapText="1"/>
    </xf>
    <xf numFmtId="3" fontId="0" fillId="0" borderId="27" xfId="0" applyNumberFormat="1" applyBorder="1"/>
    <xf numFmtId="3" fontId="7" fillId="0" borderId="37" xfId="0" applyNumberFormat="1" applyFont="1" applyBorder="1"/>
    <xf numFmtId="0" fontId="7" fillId="38" borderId="37" xfId="0" applyFont="1" applyFill="1" applyBorder="1"/>
    <xf numFmtId="0" fontId="0" fillId="38" borderId="34" xfId="0" applyFill="1" applyBorder="1"/>
    <xf numFmtId="3" fontId="7" fillId="38" borderId="34" xfId="0" applyNumberFormat="1" applyFont="1" applyFill="1" applyBorder="1"/>
    <xf numFmtId="3" fontId="7" fillId="38" borderId="36" xfId="0" applyNumberFormat="1" applyFont="1" applyFill="1" applyBorder="1"/>
    <xf numFmtId="0" fontId="7" fillId="38" borderId="83" xfId="0" applyFont="1" applyFill="1" applyBorder="1"/>
    <xf numFmtId="0" fontId="0" fillId="38" borderId="54" xfId="0" applyFill="1" applyBorder="1"/>
    <xf numFmtId="3" fontId="0" fillId="38" borderId="54" xfId="0" applyNumberFormat="1" applyFill="1" applyBorder="1"/>
    <xf numFmtId="3" fontId="0" fillId="38" borderId="52" xfId="0" applyNumberFormat="1" applyFill="1" applyBorder="1"/>
    <xf numFmtId="0" fontId="7" fillId="38" borderId="34" xfId="0" applyFont="1" applyFill="1" applyBorder="1"/>
    <xf numFmtId="0" fontId="7" fillId="38" borderId="54" xfId="0" applyFont="1" applyFill="1" applyBorder="1"/>
    <xf numFmtId="0" fontId="7" fillId="38" borderId="54" xfId="0" applyFont="1" applyFill="1" applyBorder="1" applyAlignment="1">
      <alignment horizontal="right" wrapText="1"/>
    </xf>
    <xf numFmtId="0" fontId="7" fillId="38" borderId="52" xfId="0" applyFont="1" applyFill="1" applyBorder="1" applyAlignment="1">
      <alignment horizontal="right" wrapText="1"/>
    </xf>
    <xf numFmtId="0" fontId="63" fillId="36" borderId="0" xfId="0" applyFont="1" applyFill="1"/>
    <xf numFmtId="0" fontId="88" fillId="36" borderId="0" xfId="0" applyFont="1" applyFill="1"/>
    <xf numFmtId="0" fontId="90" fillId="36" borderId="0" xfId="0" applyFont="1" applyFill="1"/>
    <xf numFmtId="177" fontId="53" fillId="36" borderId="0" xfId="1" applyNumberFormat="1" applyFont="1" applyFill="1"/>
    <xf numFmtId="177" fontId="91" fillId="36" borderId="0" xfId="1" applyNumberFormat="1" applyFont="1" applyFill="1"/>
    <xf numFmtId="0" fontId="87" fillId="36" borderId="0" xfId="0" applyFont="1" applyFill="1"/>
    <xf numFmtId="0" fontId="53" fillId="36" borderId="0" xfId="0" applyFont="1" applyFill="1" applyAlignment="1">
      <alignment wrapText="1"/>
    </xf>
    <xf numFmtId="3" fontId="0" fillId="0" borderId="0" xfId="0" applyNumberFormat="1" applyFont="1" applyBorder="1"/>
    <xf numFmtId="0" fontId="0" fillId="0" borderId="0" xfId="0" applyFont="1" applyBorder="1" applyAlignment="1">
      <alignment vertical="top" wrapText="1"/>
    </xf>
    <xf numFmtId="0" fontId="80" fillId="0" borderId="37" xfId="0" applyFont="1" applyBorder="1" applyAlignment="1">
      <alignment horizontal="left"/>
    </xf>
    <xf numFmtId="3" fontId="80" fillId="3" borderId="36" xfId="0" applyNumberFormat="1" applyFont="1" applyFill="1" applyBorder="1" applyAlignment="1">
      <alignment horizontal="right" indent="2"/>
    </xf>
    <xf numFmtId="0" fontId="76" fillId="0" borderId="83" xfId="0" applyFont="1" applyFill="1" applyBorder="1" applyAlignment="1">
      <alignment horizontal="left"/>
    </xf>
    <xf numFmtId="0" fontId="76" fillId="0" borderId="37" xfId="0" applyFont="1" applyBorder="1"/>
    <xf numFmtId="177" fontId="33" fillId="0" borderId="0" xfId="1" applyNumberFormat="1" applyFont="1" applyAlignment="1">
      <alignment horizontal="right"/>
    </xf>
    <xf numFmtId="3" fontId="0" fillId="0" borderId="0" xfId="0" applyNumberFormat="1" applyBorder="1" applyAlignment="1">
      <alignment vertical="center" wrapText="1"/>
    </xf>
    <xf numFmtId="177" fontId="0" fillId="0" borderId="0" xfId="1" applyNumberFormat="1" applyFont="1" applyBorder="1" applyAlignment="1">
      <alignment vertical="center" wrapText="1"/>
    </xf>
    <xf numFmtId="0" fontId="0" fillId="0" borderId="27" xfId="0" applyBorder="1" applyAlignment="1">
      <alignment vertical="center" wrapText="1"/>
    </xf>
    <xf numFmtId="0" fontId="0" fillId="0" borderId="83" xfId="0" applyBorder="1" applyAlignment="1">
      <alignment vertical="center" wrapText="1"/>
    </xf>
    <xf numFmtId="3" fontId="0" fillId="0" borderId="54" xfId="0" applyNumberFormat="1" applyBorder="1" applyAlignment="1">
      <alignment vertical="center" wrapText="1"/>
    </xf>
    <xf numFmtId="0" fontId="0" fillId="0" borderId="37" xfId="0" applyBorder="1" applyAlignment="1">
      <alignment vertical="center" wrapText="1"/>
    </xf>
    <xf numFmtId="0" fontId="0" fillId="0" borderId="52" xfId="0" applyBorder="1" applyAlignment="1">
      <alignment vertical="center" wrapText="1"/>
    </xf>
    <xf numFmtId="0" fontId="0" fillId="0" borderId="36" xfId="0" applyBorder="1" applyAlignment="1">
      <alignment vertical="center" wrapText="1"/>
    </xf>
    <xf numFmtId="0" fontId="0" fillId="0" borderId="59" xfId="0" applyBorder="1" applyAlignment="1">
      <alignment vertical="center" wrapText="1"/>
    </xf>
    <xf numFmtId="0" fontId="0" fillId="0" borderId="40" xfId="0" applyBorder="1" applyAlignment="1">
      <alignment vertical="center" wrapText="1"/>
    </xf>
    <xf numFmtId="0" fontId="67" fillId="0" borderId="40" xfId="0" applyFont="1" applyBorder="1" applyAlignment="1">
      <alignment vertical="center" wrapText="1"/>
    </xf>
    <xf numFmtId="177" fontId="0" fillId="0" borderId="34" xfId="1" applyNumberFormat="1" applyFont="1" applyBorder="1" applyAlignment="1">
      <alignment vertical="center" wrapText="1"/>
    </xf>
    <xf numFmtId="177" fontId="0" fillId="0" borderId="52" xfId="1" applyNumberFormat="1" applyFont="1" applyFill="1" applyBorder="1"/>
    <xf numFmtId="0" fontId="0" fillId="0" borderId="36" xfId="0" applyBorder="1" applyAlignment="1">
      <alignment horizontal="left" vertical="center" wrapText="1"/>
    </xf>
    <xf numFmtId="0" fontId="13" fillId="0" borderId="37" xfId="0" applyFont="1" applyBorder="1" applyAlignment="1">
      <alignment vertical="center" wrapText="1"/>
    </xf>
    <xf numFmtId="0" fontId="2" fillId="0" borderId="57" xfId="0" applyFont="1" applyBorder="1" applyAlignment="1">
      <alignment vertical="top" wrapText="1"/>
    </xf>
    <xf numFmtId="0" fontId="13" fillId="0" borderId="37" xfId="0" applyFont="1" applyBorder="1" applyAlignment="1">
      <alignment vertical="top" wrapText="1"/>
    </xf>
    <xf numFmtId="0" fontId="7" fillId="2" borderId="57" xfId="0" applyFont="1" applyFill="1" applyBorder="1" applyAlignment="1">
      <alignment vertical="center"/>
    </xf>
    <xf numFmtId="0" fontId="0" fillId="2" borderId="58" xfId="0" applyFill="1" applyBorder="1" applyAlignment="1">
      <alignment vertical="center" wrapText="1"/>
    </xf>
    <xf numFmtId="0" fontId="0" fillId="2" borderId="58" xfId="0" applyFill="1" applyBorder="1" applyAlignment="1">
      <alignment horizontal="right" vertical="center" wrapText="1"/>
    </xf>
    <xf numFmtId="3" fontId="0" fillId="2" borderId="58" xfId="0" applyNumberFormat="1" applyFill="1" applyBorder="1" applyAlignment="1">
      <alignment horizontal="right" vertical="center" wrapText="1"/>
    </xf>
    <xf numFmtId="0" fontId="0" fillId="2" borderId="59" xfId="0" applyFill="1" applyBorder="1" applyAlignment="1">
      <alignment horizontal="center" vertical="center" wrapText="1"/>
    </xf>
    <xf numFmtId="0" fontId="7" fillId="2" borderId="132" xfId="0" applyFont="1" applyFill="1" applyBorder="1" applyAlignment="1">
      <alignment vertical="top"/>
    </xf>
    <xf numFmtId="0" fontId="7" fillId="2" borderId="133" xfId="0" applyFont="1" applyFill="1" applyBorder="1" applyAlignment="1">
      <alignment vertical="top"/>
    </xf>
    <xf numFmtId="0" fontId="0" fillId="2" borderId="133" xfId="0" applyFill="1" applyBorder="1" applyAlignment="1">
      <alignment vertical="top" wrapText="1"/>
    </xf>
    <xf numFmtId="0" fontId="0" fillId="2" borderId="133" xfId="0" applyFill="1" applyBorder="1" applyAlignment="1">
      <alignment horizontal="right" vertical="top" wrapText="1"/>
    </xf>
    <xf numFmtId="0" fontId="0" fillId="2" borderId="52" xfId="0" applyFill="1" applyBorder="1" applyAlignment="1">
      <alignment vertical="top" wrapText="1"/>
    </xf>
    <xf numFmtId="0" fontId="0" fillId="2" borderId="24" xfId="0" applyFill="1" applyBorder="1" applyAlignment="1">
      <alignment vertical="top" wrapText="1"/>
    </xf>
    <xf numFmtId="0" fontId="0" fillId="2" borderId="40" xfId="0" applyFill="1" applyBorder="1" applyAlignment="1">
      <alignment vertical="top" wrapText="1"/>
    </xf>
    <xf numFmtId="0" fontId="0" fillId="2" borderId="87" xfId="0" quotePrefix="1" applyFill="1" applyBorder="1" applyAlignment="1">
      <alignment horizontal="left" vertical="top" wrapText="1"/>
    </xf>
    <xf numFmtId="0" fontId="0" fillId="2" borderId="24" xfId="0" quotePrefix="1" applyFill="1" applyBorder="1" applyAlignment="1">
      <alignment vertical="top" wrapText="1"/>
    </xf>
    <xf numFmtId="0" fontId="0" fillId="2" borderId="24" xfId="0" applyFill="1" applyBorder="1" applyAlignment="1">
      <alignment vertical="center"/>
    </xf>
    <xf numFmtId="0" fontId="0" fillId="2" borderId="24" xfId="0" applyFill="1" applyBorder="1" applyAlignment="1">
      <alignment vertical="center" wrapText="1"/>
    </xf>
    <xf numFmtId="0" fontId="0" fillId="2" borderId="24" xfId="0" applyFill="1" applyBorder="1" applyAlignment="1">
      <alignment horizontal="right" vertical="center" wrapText="1"/>
    </xf>
    <xf numFmtId="177" fontId="0" fillId="2" borderId="24" xfId="1" applyNumberFormat="1" applyFont="1" applyFill="1" applyBorder="1" applyAlignment="1">
      <alignment horizontal="right" vertical="center" wrapText="1"/>
    </xf>
    <xf numFmtId="0" fontId="0" fillId="2" borderId="87" xfId="0" quotePrefix="1" applyFill="1" applyBorder="1" applyAlignment="1">
      <alignment vertical="top" wrapText="1"/>
    </xf>
    <xf numFmtId="0" fontId="0" fillId="2" borderId="134" xfId="0" quotePrefix="1" applyFill="1" applyBorder="1" applyAlignment="1">
      <alignment vertical="top" wrapText="1"/>
    </xf>
    <xf numFmtId="0" fontId="0" fillId="2" borderId="135" xfId="0" quotePrefix="1" applyFill="1" applyBorder="1" applyAlignment="1">
      <alignment vertical="top" wrapText="1"/>
    </xf>
    <xf numFmtId="0" fontId="0" fillId="2" borderId="135" xfId="0" applyFill="1" applyBorder="1" applyAlignment="1">
      <alignment vertical="center"/>
    </xf>
    <xf numFmtId="0" fontId="0" fillId="2" borderId="135" xfId="0" applyFill="1" applyBorder="1" applyAlignment="1">
      <alignment vertical="center" wrapText="1"/>
    </xf>
    <xf numFmtId="177" fontId="0" fillId="2" borderId="135" xfId="1" applyNumberFormat="1" applyFont="1" applyFill="1" applyBorder="1" applyAlignment="1">
      <alignment horizontal="right" vertical="center" wrapText="1"/>
    </xf>
    <xf numFmtId="0" fontId="0" fillId="2" borderId="0" xfId="0" quotePrefix="1" applyFill="1" applyBorder="1" applyAlignment="1">
      <alignment vertical="top" wrapText="1"/>
    </xf>
    <xf numFmtId="0" fontId="0" fillId="2" borderId="0" xfId="0" applyFill="1" applyBorder="1" applyAlignment="1">
      <alignment vertical="center"/>
    </xf>
    <xf numFmtId="0" fontId="0" fillId="2" borderId="0" xfId="0" applyFill="1" applyBorder="1" applyAlignment="1">
      <alignment vertical="center" wrapText="1"/>
    </xf>
    <xf numFmtId="177" fontId="0" fillId="2" borderId="0" xfId="1" applyNumberFormat="1" applyFont="1" applyFill="1" applyBorder="1" applyAlignment="1">
      <alignment horizontal="right" vertical="center" wrapText="1"/>
    </xf>
    <xf numFmtId="177" fontId="0" fillId="2" borderId="0" xfId="1" applyNumberFormat="1" applyFont="1" applyFill="1" applyBorder="1" applyAlignment="1">
      <alignment horizontal="right" vertical="center"/>
    </xf>
    <xf numFmtId="0" fontId="0" fillId="2" borderId="0" xfId="0" applyFill="1" applyBorder="1" applyAlignment="1">
      <alignment vertical="top" wrapText="1"/>
    </xf>
    <xf numFmtId="0" fontId="7" fillId="2" borderId="83" xfId="0" applyFont="1" applyFill="1" applyBorder="1" applyAlignment="1">
      <alignment vertical="top"/>
    </xf>
    <xf numFmtId="0" fontId="0" fillId="2" borderId="54" xfId="0" applyFill="1" applyBorder="1" applyAlignment="1">
      <alignment vertical="top" wrapText="1"/>
    </xf>
    <xf numFmtId="0" fontId="0" fillId="2" borderId="54" xfId="0" applyFill="1" applyBorder="1" applyAlignment="1">
      <alignment vertical="center" wrapText="1"/>
    </xf>
    <xf numFmtId="177" fontId="0" fillId="2" borderId="54" xfId="1" applyNumberFormat="1" applyFont="1" applyFill="1" applyBorder="1" applyAlignment="1">
      <alignment horizontal="right" vertical="center" wrapText="1"/>
    </xf>
    <xf numFmtId="0" fontId="0" fillId="2" borderId="84" xfId="0" quotePrefix="1" applyFill="1" applyBorder="1" applyAlignment="1">
      <alignment vertical="top" wrapText="1"/>
    </xf>
    <xf numFmtId="0" fontId="0" fillId="2" borderId="26" xfId="0" quotePrefix="1" applyFill="1" applyBorder="1" applyAlignment="1">
      <alignment vertical="top" wrapText="1"/>
    </xf>
    <xf numFmtId="0" fontId="0" fillId="2" borderId="26" xfId="0" applyFill="1" applyBorder="1" applyAlignment="1">
      <alignment vertical="center"/>
    </xf>
    <xf numFmtId="0" fontId="0" fillId="2" borderId="26" xfId="0" applyFill="1" applyBorder="1" applyAlignment="1">
      <alignment vertical="center" wrapText="1"/>
    </xf>
    <xf numFmtId="0" fontId="0" fillId="2" borderId="26" xfId="0" applyFill="1" applyBorder="1" applyAlignment="1">
      <alignment horizontal="right" vertical="center" wrapText="1"/>
    </xf>
    <xf numFmtId="177" fontId="0" fillId="2" borderId="26" xfId="1" applyNumberFormat="1" applyFont="1" applyFill="1" applyBorder="1" applyAlignment="1">
      <alignment horizontal="right" vertical="center" wrapText="1"/>
    </xf>
    <xf numFmtId="0" fontId="0" fillId="2" borderId="135" xfId="0" applyFill="1" applyBorder="1" applyAlignment="1">
      <alignment horizontal="right" vertical="center" wrapText="1"/>
    </xf>
    <xf numFmtId="0" fontId="7" fillId="2" borderId="57" xfId="0" quotePrefix="1" applyFont="1" applyFill="1" applyBorder="1" applyAlignment="1">
      <alignment vertical="top"/>
    </xf>
    <xf numFmtId="0" fontId="0" fillId="2" borderId="58" xfId="0" quotePrefix="1" applyFill="1" applyBorder="1" applyAlignment="1">
      <alignment vertical="top" wrapText="1"/>
    </xf>
    <xf numFmtId="0" fontId="0" fillId="2" borderId="58" xfId="0" applyFill="1" applyBorder="1" applyAlignment="1">
      <alignment vertical="center"/>
    </xf>
    <xf numFmtId="177" fontId="0" fillId="2" borderId="58" xfId="1" applyNumberFormat="1" applyFont="1" applyFill="1" applyBorder="1" applyAlignment="1">
      <alignment horizontal="right" vertical="center" wrapText="1"/>
    </xf>
    <xf numFmtId="0" fontId="0" fillId="2" borderId="59" xfId="0" applyFill="1" applyBorder="1" applyAlignment="1">
      <alignment horizontal="left" vertical="center" wrapText="1"/>
    </xf>
    <xf numFmtId="0" fontId="0" fillId="2" borderId="27" xfId="0" applyFill="1" applyBorder="1" applyAlignment="1">
      <alignment vertical="top" wrapText="1"/>
    </xf>
    <xf numFmtId="0" fontId="0" fillId="2" borderId="37" xfId="0" applyFill="1" applyBorder="1" applyAlignment="1">
      <alignment vertical="top" wrapText="1"/>
    </xf>
    <xf numFmtId="0" fontId="0" fillId="2" borderId="34" xfId="0" applyFill="1" applyBorder="1" applyAlignment="1">
      <alignment vertical="top" wrapText="1"/>
    </xf>
    <xf numFmtId="0" fontId="0" fillId="2" borderId="34" xfId="0" applyFill="1" applyBorder="1" applyAlignment="1">
      <alignment vertical="center"/>
    </xf>
    <xf numFmtId="0" fontId="0" fillId="2" borderId="34" xfId="0" applyFill="1" applyBorder="1" applyAlignment="1">
      <alignment vertical="center" wrapText="1"/>
    </xf>
    <xf numFmtId="177" fontId="0" fillId="2" borderId="34" xfId="1" applyNumberFormat="1" applyFont="1" applyFill="1" applyBorder="1" applyAlignment="1">
      <alignment horizontal="right" vertical="center" wrapText="1"/>
    </xf>
    <xf numFmtId="0" fontId="7" fillId="2" borderId="0" xfId="0" applyFont="1" applyFill="1" applyBorder="1" applyAlignment="1">
      <alignment vertical="top"/>
    </xf>
    <xf numFmtId="0" fontId="7" fillId="2" borderId="57" xfId="0" applyFont="1" applyFill="1" applyBorder="1" applyAlignment="1">
      <alignment vertical="top"/>
    </xf>
    <xf numFmtId="0" fontId="0" fillId="2" borderId="58" xfId="0" applyFill="1" applyBorder="1" applyAlignment="1">
      <alignment vertical="top" wrapText="1"/>
    </xf>
    <xf numFmtId="0" fontId="0" fillId="2" borderId="59" xfId="0" applyFill="1" applyBorder="1" applyAlignment="1">
      <alignment vertical="top" wrapText="1"/>
    </xf>
    <xf numFmtId="0" fontId="7" fillId="2" borderId="27" xfId="0" applyFont="1" applyFill="1" applyBorder="1" applyAlignment="1">
      <alignment vertical="top"/>
    </xf>
    <xf numFmtId="0" fontId="0" fillId="2" borderId="0" xfId="0" applyFill="1" applyBorder="1" applyAlignment="1">
      <alignment horizontal="right" vertical="top" wrapText="1"/>
    </xf>
    <xf numFmtId="0" fontId="7" fillId="2" borderId="27" xfId="0" quotePrefix="1" applyFont="1" applyFill="1" applyBorder="1" applyAlignment="1">
      <alignment vertical="top"/>
    </xf>
    <xf numFmtId="0" fontId="0" fillId="2" borderId="57" xfId="0" applyFill="1" applyBorder="1" applyAlignment="1">
      <alignment vertical="top" wrapText="1"/>
    </xf>
    <xf numFmtId="0" fontId="0" fillId="2" borderId="0" xfId="0" applyFont="1" applyFill="1" applyBorder="1" applyAlignment="1">
      <alignment vertical="center" wrapText="1"/>
    </xf>
    <xf numFmtId="177" fontId="6" fillId="2" borderId="0" xfId="1" applyNumberFormat="1" applyFont="1" applyFill="1" applyBorder="1" applyAlignment="1">
      <alignment horizontal="right" vertical="center" wrapText="1"/>
    </xf>
    <xf numFmtId="0" fontId="0" fillId="2" borderId="0" xfId="0" applyFont="1" applyFill="1" applyBorder="1" applyAlignment="1">
      <alignment vertical="top" wrapText="1"/>
    </xf>
    <xf numFmtId="0" fontId="0" fillId="2" borderId="0" xfId="0" applyFont="1" applyFill="1" applyBorder="1" applyAlignment="1">
      <alignment horizontal="right" vertical="center" wrapText="1"/>
    </xf>
    <xf numFmtId="0" fontId="7" fillId="2" borderId="27" xfId="0" applyFont="1" applyFill="1" applyBorder="1" applyAlignment="1">
      <alignment horizontal="left" vertical="center"/>
    </xf>
    <xf numFmtId="0" fontId="0" fillId="2" borderId="0" xfId="0" applyFont="1" applyFill="1" applyBorder="1" applyAlignment="1">
      <alignment horizontal="left" vertical="center" wrapText="1"/>
    </xf>
    <xf numFmtId="177" fontId="6" fillId="2" borderId="0" xfId="1" applyNumberFormat="1" applyFont="1" applyFill="1" applyBorder="1" applyAlignment="1">
      <alignment horizontal="left" vertical="center" wrapText="1"/>
    </xf>
    <xf numFmtId="0" fontId="0" fillId="2" borderId="40" xfId="0" applyFill="1" applyBorder="1" applyAlignment="1">
      <alignment horizontal="left" vertical="center" wrapText="1"/>
    </xf>
    <xf numFmtId="0" fontId="7" fillId="2" borderId="84" xfId="0" applyFont="1" applyFill="1" applyBorder="1" applyAlignment="1">
      <alignment vertical="center"/>
    </xf>
    <xf numFmtId="0" fontId="0" fillId="2" borderId="26" xfId="0" applyFont="1" applyFill="1" applyBorder="1" applyAlignment="1">
      <alignment vertical="center" wrapText="1"/>
    </xf>
    <xf numFmtId="177" fontId="6" fillId="2" borderId="26" xfId="1" applyNumberFormat="1" applyFont="1" applyFill="1" applyBorder="1" applyAlignment="1">
      <alignment horizontal="right" vertical="center" wrapText="1"/>
    </xf>
    <xf numFmtId="3" fontId="0" fillId="2" borderId="26" xfId="0" applyNumberFormat="1" applyFont="1" applyFill="1" applyBorder="1" applyAlignment="1">
      <alignment horizontal="right" vertical="center" wrapText="1"/>
    </xf>
    <xf numFmtId="0" fontId="0" fillId="2" borderId="85" xfId="0" applyFill="1" applyBorder="1" applyAlignment="1">
      <alignment vertical="center" wrapText="1"/>
    </xf>
    <xf numFmtId="0" fontId="7" fillId="2" borderId="84" xfId="0" applyFont="1" applyFill="1" applyBorder="1" applyAlignment="1">
      <alignment vertical="top"/>
    </xf>
    <xf numFmtId="0" fontId="0" fillId="2" borderId="26" xfId="0" applyFont="1" applyFill="1" applyBorder="1" applyAlignment="1">
      <alignment vertical="top" wrapText="1"/>
    </xf>
    <xf numFmtId="0" fontId="0" fillId="2" borderId="26" xfId="0" applyFont="1" applyFill="1" applyBorder="1" applyAlignment="1">
      <alignment horizontal="right" vertical="center" wrapText="1"/>
    </xf>
    <xf numFmtId="0" fontId="0" fillId="2" borderId="85" xfId="0" applyFill="1" applyBorder="1" applyAlignment="1">
      <alignment vertical="top" wrapText="1"/>
    </xf>
    <xf numFmtId="0" fontId="0" fillId="2" borderId="89" xfId="0" quotePrefix="1" applyFill="1" applyBorder="1" applyAlignment="1">
      <alignment vertical="top" wrapText="1"/>
    </xf>
    <xf numFmtId="0" fontId="0" fillId="2" borderId="126" xfId="0" applyFill="1" applyBorder="1" applyAlignment="1">
      <alignment vertical="top" wrapText="1"/>
    </xf>
    <xf numFmtId="0" fontId="0" fillId="2" borderId="126" xfId="0" applyFill="1" applyBorder="1" applyAlignment="1">
      <alignment vertical="center"/>
    </xf>
    <xf numFmtId="0" fontId="0" fillId="2" borderId="126" xfId="0" applyFill="1" applyBorder="1" applyAlignment="1">
      <alignment vertical="center" wrapText="1"/>
    </xf>
    <xf numFmtId="177" fontId="0" fillId="2" borderId="126" xfId="1" applyNumberFormat="1" applyFont="1" applyFill="1" applyBorder="1" applyAlignment="1">
      <alignment horizontal="right" vertical="center" wrapText="1"/>
    </xf>
    <xf numFmtId="177" fontId="0" fillId="2" borderId="26" xfId="1" applyNumberFormat="1" applyFont="1" applyFill="1" applyBorder="1" applyAlignment="1">
      <alignment horizontal="right" vertical="center"/>
    </xf>
    <xf numFmtId="0" fontId="57" fillId="35" borderId="27" xfId="0" applyFont="1" applyFill="1" applyBorder="1"/>
    <xf numFmtId="0" fontId="17" fillId="35" borderId="27" xfId="0" applyFont="1" applyFill="1" applyBorder="1"/>
    <xf numFmtId="177" fontId="11" fillId="3" borderId="116" xfId="1" applyNumberFormat="1" applyFont="1" applyFill="1" applyBorder="1" applyAlignment="1">
      <alignment horizontal="center"/>
    </xf>
    <xf numFmtId="177" fontId="0" fillId="3" borderId="116" xfId="1" applyNumberFormat="1" applyFont="1" applyFill="1" applyBorder="1"/>
    <xf numFmtId="177" fontId="0" fillId="0" borderId="7" xfId="1" applyNumberFormat="1" applyFont="1" applyBorder="1"/>
    <xf numFmtId="177" fontId="11" fillId="0" borderId="7" xfId="1" applyNumberFormat="1" applyFont="1" applyBorder="1" applyAlignment="1">
      <alignment horizontal="center"/>
    </xf>
    <xf numFmtId="177" fontId="0" fillId="0" borderId="23" xfId="1" applyNumberFormat="1" applyFont="1" applyBorder="1"/>
    <xf numFmtId="177" fontId="11" fillId="0" borderId="24" xfId="1" applyNumberFormat="1" applyFont="1" applyBorder="1" applyAlignment="1">
      <alignment horizontal="center" wrapText="1"/>
    </xf>
    <xf numFmtId="177" fontId="0" fillId="0" borderId="110" xfId="1" applyNumberFormat="1" applyFont="1" applyBorder="1"/>
    <xf numFmtId="177" fontId="0" fillId="0" borderId="116" xfId="1" applyNumberFormat="1" applyFont="1" applyBorder="1" applyAlignment="1">
      <alignment wrapText="1"/>
    </xf>
    <xf numFmtId="177" fontId="0" fillId="0" borderId="116" xfId="1" applyNumberFormat="1" applyFont="1" applyBorder="1" applyAlignment="1">
      <alignment horizontal="center" wrapText="1"/>
    </xf>
    <xf numFmtId="177" fontId="0" fillId="0" borderId="7" xfId="1" applyNumberFormat="1" applyFont="1" applyBorder="1" applyAlignment="1">
      <alignment horizontal="center" wrapText="1"/>
    </xf>
    <xf numFmtId="177" fontId="0" fillId="0" borderId="23" xfId="1" applyNumberFormat="1" applyFont="1" applyBorder="1" applyAlignment="1">
      <alignment wrapText="1"/>
    </xf>
    <xf numFmtId="177" fontId="0" fillId="0" borderId="24" xfId="1" applyNumberFormat="1" applyFont="1" applyBorder="1" applyAlignment="1">
      <alignment horizontal="center" wrapText="1"/>
    </xf>
    <xf numFmtId="177" fontId="0" fillId="0" borderId="110" xfId="1" applyNumberFormat="1" applyFont="1" applyBorder="1" applyAlignment="1">
      <alignment horizontal="center" wrapText="1"/>
    </xf>
    <xf numFmtId="0" fontId="62" fillId="35" borderId="60" xfId="0" applyFont="1" applyFill="1" applyBorder="1"/>
    <xf numFmtId="177" fontId="62" fillId="35" borderId="34" xfId="1" applyNumberFormat="1" applyFont="1" applyFill="1" applyBorder="1" applyAlignment="1">
      <alignment horizontal="right"/>
    </xf>
    <xf numFmtId="177" fontId="62" fillId="35" borderId="34" xfId="1" applyNumberFormat="1" applyFont="1" applyFill="1" applyBorder="1" applyAlignment="1">
      <alignment horizontal="center"/>
    </xf>
    <xf numFmtId="177" fontId="62" fillId="35" borderId="36" xfId="1" applyNumberFormat="1" applyFont="1" applyFill="1" applyBorder="1"/>
    <xf numFmtId="0" fontId="57" fillId="35" borderId="83" xfId="0" applyFont="1" applyFill="1" applyBorder="1"/>
    <xf numFmtId="177" fontId="57" fillId="35" borderId="54" xfId="1" applyNumberFormat="1" applyFont="1" applyFill="1" applyBorder="1"/>
    <xf numFmtId="177" fontId="57" fillId="35" borderId="52" xfId="1" applyNumberFormat="1" applyFont="1" applyFill="1" applyBorder="1"/>
    <xf numFmtId="0" fontId="17" fillId="35" borderId="37" xfId="0" applyFont="1" applyFill="1" applyBorder="1"/>
    <xf numFmtId="177" fontId="57" fillId="35" borderId="83" xfId="1" applyNumberFormat="1" applyFont="1" applyFill="1" applyBorder="1" applyAlignment="1">
      <alignment horizontal="right"/>
    </xf>
    <xf numFmtId="177" fontId="57" fillId="35" borderId="54" xfId="1" applyNumberFormat="1" applyFont="1" applyFill="1" applyBorder="1" applyAlignment="1">
      <alignment horizontal="right"/>
    </xf>
    <xf numFmtId="177" fontId="57" fillId="35" borderId="52" xfId="1" applyNumberFormat="1" applyFont="1" applyFill="1" applyBorder="1" applyAlignment="1">
      <alignment horizontal="right"/>
    </xf>
    <xf numFmtId="177" fontId="57" fillId="35" borderId="27" xfId="1" applyNumberFormat="1" applyFont="1" applyFill="1" applyBorder="1" applyAlignment="1">
      <alignment horizontal="right"/>
    </xf>
    <xf numFmtId="0" fontId="17" fillId="35" borderId="57" xfId="0" applyFont="1" applyFill="1" applyBorder="1"/>
    <xf numFmtId="177" fontId="57" fillId="35" borderId="57" xfId="1" applyNumberFormat="1" applyFont="1" applyFill="1" applyBorder="1" applyAlignment="1">
      <alignment horizontal="right"/>
    </xf>
    <xf numFmtId="177" fontId="57" fillId="35" borderId="58" xfId="1" applyNumberFormat="1" applyFont="1" applyFill="1" applyBorder="1" applyAlignment="1">
      <alignment horizontal="right"/>
    </xf>
    <xf numFmtId="177" fontId="57" fillId="35" borderId="59" xfId="1" applyNumberFormat="1" applyFont="1" applyFill="1" applyBorder="1" applyAlignment="1">
      <alignment horizontal="right"/>
    </xf>
    <xf numFmtId="177" fontId="57" fillId="35" borderId="83" xfId="1" applyNumberFormat="1" applyFont="1" applyFill="1" applyBorder="1"/>
    <xf numFmtId="177" fontId="57" fillId="35" borderId="27" xfId="1" applyNumberFormat="1" applyFont="1" applyFill="1" applyBorder="1"/>
    <xf numFmtId="177" fontId="57" fillId="35" borderId="37" xfId="1" applyNumberFormat="1" applyFont="1" applyFill="1" applyBorder="1"/>
    <xf numFmtId="3" fontId="9" fillId="0" borderId="90" xfId="0" applyNumberFormat="1" applyFont="1" applyFill="1" applyBorder="1"/>
    <xf numFmtId="3" fontId="9" fillId="0" borderId="91" xfId="0" applyNumberFormat="1" applyFont="1" applyFill="1" applyBorder="1"/>
    <xf numFmtId="3" fontId="9" fillId="0" borderId="95" xfId="0" applyNumberFormat="1" applyFont="1" applyFill="1" applyBorder="1"/>
    <xf numFmtId="0" fontId="9" fillId="0" borderId="94" xfId="0" applyFont="1" applyFill="1" applyBorder="1"/>
    <xf numFmtId="177" fontId="57" fillId="0" borderId="0" xfId="1" applyNumberFormat="1" applyFont="1"/>
    <xf numFmtId="0" fontId="92" fillId="0" borderId="0" xfId="0" applyFont="1" applyAlignment="1">
      <alignment horizontal="center" vertical="center" wrapText="1"/>
    </xf>
    <xf numFmtId="0" fontId="92" fillId="0" borderId="0" xfId="0" applyFont="1" applyAlignment="1">
      <alignment horizontal="right" vertical="center" wrapText="1"/>
    </xf>
    <xf numFmtId="0" fontId="0" fillId="0" borderId="0" xfId="0" applyFont="1" applyAlignment="1">
      <alignment horizontal="left" vertical="center" wrapText="1"/>
    </xf>
    <xf numFmtId="0" fontId="0" fillId="0" borderId="0" xfId="0" applyFont="1" applyAlignment="1">
      <alignment horizontal="right" vertical="center" wrapText="1"/>
    </xf>
    <xf numFmtId="177" fontId="92" fillId="0" borderId="0" xfId="1" applyNumberFormat="1" applyFont="1" applyAlignment="1">
      <alignment horizontal="left" vertical="center" wrapText="1"/>
    </xf>
    <xf numFmtId="177" fontId="0" fillId="0" borderId="0" xfId="1" applyNumberFormat="1" applyFont="1" applyAlignment="1">
      <alignment horizontal="right" vertical="center" wrapText="1"/>
    </xf>
    <xf numFmtId="177" fontId="93" fillId="0" borderId="0" xfId="1" applyNumberFormat="1" applyFont="1" applyAlignment="1">
      <alignment horizontal="left" vertical="center" wrapText="1" indent="2"/>
    </xf>
    <xf numFmtId="177" fontId="0" fillId="0" borderId="0" xfId="1" applyNumberFormat="1" applyFont="1" applyAlignment="1">
      <alignment horizontal="right" vertical="center" wrapText="1" indent="5"/>
    </xf>
    <xf numFmtId="177" fontId="0" fillId="3" borderId="0" xfId="1" applyNumberFormat="1" applyFont="1" applyFill="1" applyAlignment="1">
      <alignment horizontal="right" vertical="center" wrapText="1"/>
    </xf>
    <xf numFmtId="177" fontId="93" fillId="0" borderId="0" xfId="1" applyNumberFormat="1" applyFont="1" applyAlignment="1">
      <alignment horizontal="left" vertical="center" wrapText="1"/>
    </xf>
    <xf numFmtId="177" fontId="0" fillId="0" borderId="0" xfId="0" applyNumberFormat="1" applyFont="1"/>
    <xf numFmtId="179" fontId="0" fillId="0" borderId="0" xfId="0" applyNumberFormat="1" applyFont="1"/>
    <xf numFmtId="172" fontId="0" fillId="0" borderId="0" xfId="596" applyNumberFormat="1" applyFont="1"/>
    <xf numFmtId="182" fontId="0" fillId="3" borderId="0" xfId="596" applyNumberFormat="1" applyFont="1" applyFill="1"/>
    <xf numFmtId="0" fontId="94" fillId="0" borderId="0" xfId="0" applyFont="1" applyAlignment="1">
      <alignment horizontal="center" vertical="center" wrapText="1"/>
    </xf>
    <xf numFmtId="0" fontId="33" fillId="0" borderId="0" xfId="0" applyFont="1" applyAlignment="1">
      <alignment horizontal="center" vertical="center" wrapText="1"/>
    </xf>
    <xf numFmtId="0" fontId="94" fillId="0" borderId="0" xfId="0" applyFont="1" applyAlignment="1">
      <alignment horizontal="left" vertical="center" wrapText="1"/>
    </xf>
    <xf numFmtId="0" fontId="95" fillId="0" borderId="0" xfId="0" applyFont="1" applyAlignment="1">
      <alignment horizontal="left" vertical="center" wrapText="1"/>
    </xf>
    <xf numFmtId="0" fontId="95" fillId="0" borderId="0" xfId="0" applyFont="1" applyAlignment="1">
      <alignment horizontal="center" vertical="center" wrapText="1"/>
    </xf>
    <xf numFmtId="0" fontId="94" fillId="0" borderId="0" xfId="0" applyFont="1" applyAlignment="1">
      <alignment vertical="top" wrapText="1"/>
    </xf>
    <xf numFmtId="0" fontId="33" fillId="0" borderId="0" xfId="0" applyFont="1" applyAlignment="1">
      <alignment vertical="top" wrapText="1"/>
    </xf>
    <xf numFmtId="0" fontId="33" fillId="0" borderId="0" xfId="0" applyFont="1" applyAlignment="1">
      <alignment horizontal="center" vertical="top" wrapText="1"/>
    </xf>
    <xf numFmtId="0" fontId="94" fillId="0" borderId="0" xfId="0" applyFont="1" applyAlignment="1">
      <alignment horizontal="left" vertical="top" wrapText="1"/>
    </xf>
    <xf numFmtId="0" fontId="33" fillId="0" borderId="0" xfId="0" applyFont="1" applyAlignment="1">
      <alignment horizontal="left" vertical="top" wrapText="1"/>
    </xf>
    <xf numFmtId="0" fontId="33" fillId="0" borderId="0" xfId="0" applyFont="1" applyAlignment="1">
      <alignment horizontal="left" vertical="center" wrapText="1"/>
    </xf>
    <xf numFmtId="0" fontId="33" fillId="39" borderId="0" xfId="0" applyFont="1" applyFill="1" applyAlignment="1">
      <alignment horizontal="left" vertical="center" wrapText="1"/>
    </xf>
    <xf numFmtId="0" fontId="95" fillId="39" borderId="0" xfId="0" applyFont="1" applyFill="1" applyAlignment="1">
      <alignment horizontal="center" vertical="center" wrapText="1"/>
    </xf>
    <xf numFmtId="0" fontId="94" fillId="39" borderId="0" xfId="0" applyFont="1" applyFill="1" applyAlignment="1">
      <alignment horizontal="left" vertical="center" wrapText="1"/>
    </xf>
    <xf numFmtId="0" fontId="33" fillId="39" borderId="0" xfId="0" applyFont="1" applyFill="1" applyAlignment="1">
      <alignment horizontal="center" vertical="top" wrapText="1"/>
    </xf>
    <xf numFmtId="0" fontId="33" fillId="39" borderId="0" xfId="0" applyFont="1" applyFill="1" applyAlignment="1">
      <alignment horizontal="center" vertical="center" wrapText="1"/>
    </xf>
    <xf numFmtId="10" fontId="0" fillId="0" borderId="0" xfId="596" applyNumberFormat="1" applyFont="1"/>
    <xf numFmtId="0" fontId="92" fillId="0" borderId="0" xfId="0" quotePrefix="1" applyFont="1" applyAlignment="1">
      <alignment horizontal="right" vertical="center" wrapText="1"/>
    </xf>
    <xf numFmtId="175" fontId="0" fillId="0" borderId="0" xfId="0" applyNumberFormat="1"/>
    <xf numFmtId="184" fontId="57" fillId="0" borderId="0" xfId="0" applyNumberFormat="1" applyFont="1"/>
    <xf numFmtId="0" fontId="0" fillId="0" borderId="0" xfId="0" applyFont="1" applyFill="1" applyBorder="1" applyAlignment="1">
      <alignment vertical="top" wrapText="1"/>
    </xf>
    <xf numFmtId="0" fontId="0" fillId="0" borderId="0" xfId="0" applyFont="1" applyFill="1" applyBorder="1" applyAlignment="1">
      <alignment vertical="top"/>
    </xf>
    <xf numFmtId="0" fontId="0" fillId="0" borderId="0" xfId="0" applyAlignment="1">
      <alignment wrapText="1"/>
    </xf>
    <xf numFmtId="0" fontId="33" fillId="0" borderId="0" xfId="0" applyFont="1" applyAlignment="1">
      <alignment horizontal="left" vertical="center" wrapText="1"/>
    </xf>
    <xf numFmtId="0" fontId="77" fillId="36" borderId="0" xfId="0" applyFont="1" applyFill="1"/>
    <xf numFmtId="0" fontId="76" fillId="0" borderId="0" xfId="0" quotePrefix="1" applyFont="1"/>
    <xf numFmtId="0" fontId="33" fillId="0" borderId="0" xfId="0" applyFont="1" applyAlignment="1">
      <alignment horizontal="justify" vertical="center" wrapText="1"/>
    </xf>
    <xf numFmtId="0" fontId="76" fillId="0" borderId="0" xfId="0" applyFont="1" applyAlignment="1">
      <alignment horizontal="justify" vertical="center"/>
    </xf>
    <xf numFmtId="0" fontId="76" fillId="0" borderId="0" xfId="0" applyFont="1" applyAlignment="1">
      <alignment horizontal="left" vertical="center" wrapText="1"/>
    </xf>
    <xf numFmtId="0" fontId="76" fillId="0" borderId="0" xfId="0" applyFont="1" applyAlignment="1"/>
    <xf numFmtId="0" fontId="76" fillId="36" borderId="0" xfId="0" applyFont="1" applyFill="1" applyAlignment="1"/>
    <xf numFmtId="0" fontId="77" fillId="36" borderId="0" xfId="0" applyFont="1" applyFill="1" applyAlignment="1"/>
    <xf numFmtId="0" fontId="77" fillId="40" borderId="0" xfId="0" applyFont="1" applyFill="1" applyAlignment="1"/>
    <xf numFmtId="0" fontId="96" fillId="36" borderId="0" xfId="0" applyFont="1" applyFill="1"/>
    <xf numFmtId="0" fontId="96" fillId="36" borderId="0" xfId="0" applyFont="1" applyFill="1" applyAlignment="1">
      <alignment vertical="center"/>
    </xf>
    <xf numFmtId="0" fontId="96" fillId="36" borderId="0" xfId="0" applyFont="1" applyFill="1" applyAlignment="1"/>
    <xf numFmtId="0" fontId="96" fillId="40" borderId="0" xfId="0" applyFont="1" applyFill="1" applyAlignment="1">
      <alignment vertical="center"/>
    </xf>
    <xf numFmtId="0" fontId="80" fillId="0" borderId="0" xfId="0" applyFont="1" applyAlignment="1"/>
    <xf numFmtId="0" fontId="80" fillId="3" borderId="0" xfId="0" applyFont="1" applyFill="1" applyAlignment="1"/>
    <xf numFmtId="0" fontId="76" fillId="3" borderId="0" xfId="0" applyFont="1" applyFill="1" applyAlignment="1"/>
    <xf numFmtId="0" fontId="76" fillId="17" borderId="0" xfId="0" applyFont="1" applyFill="1" applyAlignment="1"/>
    <xf numFmtId="0" fontId="96" fillId="17" borderId="0" xfId="0" applyFont="1" applyFill="1" applyAlignment="1"/>
    <xf numFmtId="0" fontId="76" fillId="41" borderId="0" xfId="0" applyFont="1" applyFill="1"/>
    <xf numFmtId="0" fontId="80" fillId="41" borderId="0" xfId="0" applyFont="1" applyFill="1" applyAlignment="1"/>
    <xf numFmtId="0" fontId="76" fillId="41" borderId="0" xfId="0" applyFont="1" applyFill="1" applyAlignment="1"/>
    <xf numFmtId="0" fontId="80" fillId="41" borderId="0" xfId="0" applyFont="1" applyFill="1"/>
    <xf numFmtId="0" fontId="80" fillId="42" borderId="0" xfId="0" applyFont="1" applyFill="1" applyAlignment="1"/>
    <xf numFmtId="0" fontId="76" fillId="42" borderId="0" xfId="0" applyFont="1" applyFill="1" applyAlignment="1"/>
    <xf numFmtId="0" fontId="80" fillId="43" borderId="0" xfId="0" applyFont="1" applyFill="1" applyAlignment="1"/>
    <xf numFmtId="0" fontId="76" fillId="43" borderId="0" xfId="0" applyFont="1" applyFill="1" applyAlignment="1"/>
    <xf numFmtId="0" fontId="77" fillId="0" borderId="0" xfId="0" applyFont="1" applyAlignment="1"/>
    <xf numFmtId="0" fontId="96" fillId="44" borderId="0" xfId="0" applyFont="1" applyFill="1" applyAlignment="1"/>
    <xf numFmtId="0" fontId="77" fillId="44" borderId="0" xfId="0" applyFont="1" applyFill="1" applyAlignment="1"/>
    <xf numFmtId="0" fontId="96" fillId="45" borderId="0" xfId="0" applyFont="1" applyFill="1" applyAlignment="1"/>
    <xf numFmtId="0" fontId="77" fillId="45" borderId="0" xfId="0" applyFont="1" applyFill="1" applyAlignment="1"/>
    <xf numFmtId="0" fontId="80" fillId="11" borderId="0" xfId="0" applyFont="1" applyFill="1" applyAlignment="1"/>
    <xf numFmtId="0" fontId="76" fillId="11" borderId="0" xfId="0" applyFont="1" applyFill="1" applyAlignment="1"/>
    <xf numFmtId="0" fontId="76" fillId="46" borderId="0" xfId="0" applyFont="1" applyFill="1" applyAlignment="1"/>
    <xf numFmtId="0" fontId="80" fillId="46" borderId="0" xfId="0" applyFont="1" applyFill="1" applyAlignment="1"/>
    <xf numFmtId="0" fontId="76" fillId="47" borderId="0" xfId="0" applyFont="1" applyFill="1" applyAlignment="1"/>
    <xf numFmtId="0" fontId="77" fillId="0" borderId="0" xfId="0" applyFont="1"/>
    <xf numFmtId="0" fontId="96" fillId="47" borderId="0" xfId="0" applyFont="1" applyFill="1" applyAlignment="1"/>
    <xf numFmtId="0" fontId="80" fillId="48" borderId="0" xfId="0" applyFont="1" applyFill="1" applyAlignment="1"/>
    <xf numFmtId="0" fontId="76" fillId="48" borderId="0" xfId="0" applyFont="1" applyFill="1" applyAlignment="1"/>
    <xf numFmtId="0" fontId="80" fillId="49" borderId="0" xfId="0" applyFont="1" applyFill="1" applyAlignment="1"/>
    <xf numFmtId="0" fontId="76" fillId="49" borderId="0" xfId="0" applyFont="1" applyFill="1" applyAlignment="1"/>
    <xf numFmtId="0" fontId="96" fillId="50" borderId="0" xfId="0" applyFont="1" applyFill="1" applyAlignment="1"/>
    <xf numFmtId="0" fontId="77" fillId="50" borderId="0" xfId="0" applyFont="1" applyFill="1" applyAlignment="1"/>
    <xf numFmtId="0" fontId="7" fillId="0" borderId="57" xfId="0" applyFont="1" applyBorder="1" applyAlignment="1">
      <alignment horizontal="right" wrapText="1"/>
    </xf>
    <xf numFmtId="177" fontId="0" fillId="0" borderId="0" xfId="1" applyNumberFormat="1" applyFont="1" applyBorder="1" applyAlignment="1">
      <alignment horizontal="right" vertical="center" wrapText="1"/>
    </xf>
    <xf numFmtId="177" fontId="0" fillId="0" borderId="40" xfId="0" applyNumberFormat="1" applyBorder="1" applyAlignment="1">
      <alignment horizontal="right" vertical="center" wrapText="1"/>
    </xf>
    <xf numFmtId="182" fontId="0" fillId="0" borderId="34" xfId="596" applyNumberFormat="1" applyFont="1" applyBorder="1" applyAlignment="1">
      <alignment horizontal="right" vertical="center"/>
    </xf>
    <xf numFmtId="0" fontId="0" fillId="0" borderId="1" xfId="0" applyBorder="1"/>
    <xf numFmtId="0" fontId="0" fillId="0" borderId="41" xfId="0" applyBorder="1" applyAlignment="1">
      <alignment vertical="center" wrapText="1"/>
    </xf>
    <xf numFmtId="177" fontId="0" fillId="0" borderId="58" xfId="1" applyNumberFormat="1" applyFont="1" applyBorder="1" applyAlignment="1">
      <alignment horizontal="right" vertical="center"/>
    </xf>
    <xf numFmtId="177" fontId="0" fillId="0" borderId="59" xfId="0" applyNumberFormat="1" applyBorder="1" applyAlignment="1">
      <alignment horizontal="right" vertical="center" wrapText="1"/>
    </xf>
    <xf numFmtId="0" fontId="0" fillId="0" borderId="1" xfId="0" applyBorder="1" applyAlignment="1">
      <alignment vertical="center"/>
    </xf>
    <xf numFmtId="0" fontId="0" fillId="39" borderId="0" xfId="0" applyFill="1"/>
    <xf numFmtId="0" fontId="0" fillId="39" borderId="0" xfId="0" applyFill="1" applyAlignment="1">
      <alignment vertical="top" wrapText="1"/>
    </xf>
    <xf numFmtId="182" fontId="0" fillId="39" borderId="36" xfId="596" applyNumberFormat="1" applyFont="1" applyFill="1" applyBorder="1" applyAlignment="1">
      <alignment horizontal="right" vertical="center" wrapText="1"/>
    </xf>
    <xf numFmtId="0" fontId="35" fillId="0" borderId="103" xfId="0" applyFont="1" applyBorder="1"/>
    <xf numFmtId="0" fontId="8" fillId="0" borderId="122" xfId="0" applyFont="1" applyBorder="1" applyAlignment="1">
      <alignment vertical="center"/>
    </xf>
    <xf numFmtId="0" fontId="9" fillId="0" borderId="23" xfId="0" applyFont="1" applyBorder="1"/>
    <xf numFmtId="2" fontId="9" fillId="0" borderId="24" xfId="0" applyNumberFormat="1" applyFont="1" applyBorder="1"/>
    <xf numFmtId="0" fontId="9" fillId="0" borderId="24" xfId="0" applyFont="1" applyFill="1" applyBorder="1"/>
    <xf numFmtId="0" fontId="9" fillId="0" borderId="110" xfId="0" applyFont="1" applyBorder="1"/>
    <xf numFmtId="177" fontId="0" fillId="0" borderId="0" xfId="0" applyNumberFormat="1" applyBorder="1"/>
    <xf numFmtId="177" fontId="0" fillId="10" borderId="83" xfId="1" applyNumberFormat="1" applyFont="1" applyFill="1" applyBorder="1"/>
    <xf numFmtId="177" fontId="0" fillId="10" borderId="54" xfId="1" applyNumberFormat="1" applyFont="1" applyFill="1" applyBorder="1"/>
    <xf numFmtId="177" fontId="0" fillId="10" borderId="54" xfId="0" applyNumberFormat="1" applyFill="1" applyBorder="1"/>
    <xf numFmtId="0" fontId="0" fillId="10" borderId="54" xfId="0" applyFill="1" applyBorder="1"/>
    <xf numFmtId="0" fontId="0" fillId="10" borderId="52" xfId="0" applyFill="1" applyBorder="1"/>
    <xf numFmtId="0" fontId="7" fillId="10" borderId="27" xfId="0" applyFont="1" applyFill="1" applyBorder="1"/>
    <xf numFmtId="3" fontId="0" fillId="10" borderId="27" xfId="0" applyNumberFormat="1" applyFill="1" applyBorder="1"/>
    <xf numFmtId="0" fontId="0" fillId="10" borderId="0" xfId="0" applyFill="1" applyBorder="1" applyAlignment="1">
      <alignment horizontal="right" wrapText="1"/>
    </xf>
    <xf numFmtId="0" fontId="0" fillId="10" borderId="40" xfId="0" applyFill="1" applyBorder="1" applyAlignment="1">
      <alignment horizontal="right" wrapText="1"/>
    </xf>
    <xf numFmtId="0" fontId="0" fillId="10" borderId="27" xfId="0" applyFill="1" applyBorder="1"/>
    <xf numFmtId="177" fontId="0" fillId="10" borderId="0" xfId="1" applyNumberFormat="1" applyFont="1" applyFill="1" applyBorder="1"/>
    <xf numFmtId="177" fontId="0" fillId="10" borderId="40" xfId="1" applyNumberFormat="1" applyFont="1" applyFill="1" applyBorder="1"/>
    <xf numFmtId="172" fontId="0" fillId="10" borderId="40" xfId="596" applyNumberFormat="1" applyFont="1" applyFill="1" applyBorder="1"/>
    <xf numFmtId="0" fontId="0" fillId="10" borderId="0" xfId="0" applyFill="1" applyBorder="1" applyAlignment="1">
      <alignment wrapText="1"/>
    </xf>
    <xf numFmtId="177" fontId="0" fillId="10" borderId="0" xfId="0" applyNumberFormat="1" applyFill="1" applyBorder="1"/>
    <xf numFmtId="0" fontId="0" fillId="10" borderId="37" xfId="0" applyFill="1" applyBorder="1"/>
    <xf numFmtId="177" fontId="0" fillId="10" borderId="34" xfId="0" applyNumberFormat="1" applyFill="1" applyBorder="1"/>
    <xf numFmtId="0" fontId="17" fillId="0" borderId="0" xfId="0" applyFont="1" applyAlignment="1">
      <alignment horizontal="right"/>
    </xf>
    <xf numFmtId="166" fontId="57" fillId="0" borderId="0" xfId="595" applyFont="1"/>
    <xf numFmtId="165" fontId="62" fillId="0" borderId="7" xfId="406" applyFont="1" applyBorder="1"/>
    <xf numFmtId="165" fontId="62" fillId="0" borderId="7" xfId="406" applyFont="1" applyFill="1" applyBorder="1"/>
    <xf numFmtId="165" fontId="62" fillId="0" borderId="11" xfId="406" applyFont="1" applyFill="1" applyBorder="1"/>
    <xf numFmtId="165" fontId="62" fillId="0" borderId="11" xfId="406" applyFont="1" applyBorder="1"/>
    <xf numFmtId="0" fontId="17" fillId="0" borderId="11" xfId="0" applyFont="1" applyBorder="1"/>
    <xf numFmtId="165" fontId="17" fillId="0" borderId="11" xfId="406" applyFont="1" applyBorder="1"/>
    <xf numFmtId="165" fontId="17" fillId="4" borderId="11" xfId="0" applyNumberFormat="1" applyFont="1" applyFill="1" applyBorder="1"/>
    <xf numFmtId="165" fontId="17" fillId="0" borderId="11" xfId="0" applyNumberFormat="1" applyFont="1" applyBorder="1"/>
    <xf numFmtId="165" fontId="62" fillId="0" borderId="11" xfId="0" applyNumberFormat="1" applyFont="1" applyBorder="1"/>
    <xf numFmtId="165" fontId="17" fillId="0" borderId="11" xfId="406" applyFont="1" applyFill="1" applyBorder="1"/>
    <xf numFmtId="0" fontId="33" fillId="0" borderId="7" xfId="0" applyFont="1" applyBorder="1"/>
    <xf numFmtId="165" fontId="36" fillId="0" borderId="7" xfId="0" applyNumberFormat="1" applyFont="1" applyBorder="1"/>
    <xf numFmtId="165" fontId="33" fillId="0" borderId="7" xfId="0" applyNumberFormat="1" applyFont="1" applyBorder="1"/>
    <xf numFmtId="165" fontId="33" fillId="0" borderId="11" xfId="0" applyNumberFormat="1" applyFont="1" applyBorder="1"/>
    <xf numFmtId="0" fontId="9" fillId="0" borderId="88" xfId="2" applyFont="1" applyFill="1" applyBorder="1" applyAlignment="1">
      <alignment wrapText="1"/>
    </xf>
    <xf numFmtId="0" fontId="9" fillId="0" borderId="0" xfId="2" applyFont="1" applyFill="1" applyBorder="1" applyAlignment="1">
      <alignment wrapText="1"/>
    </xf>
    <xf numFmtId="0" fontId="33" fillId="0" borderId="0" xfId="0" applyFont="1" applyAlignment="1">
      <alignment vertical="center"/>
    </xf>
    <xf numFmtId="0" fontId="33" fillId="0" borderId="0" xfId="0" applyFont="1" applyAlignment="1">
      <alignment vertical="center" wrapText="1"/>
    </xf>
    <xf numFmtId="0" fontId="60" fillId="0" borderId="0" xfId="0" applyFont="1" applyAlignment="1">
      <alignment wrapText="1"/>
    </xf>
    <xf numFmtId="0" fontId="53" fillId="0" borderId="0" xfId="0" applyFont="1" applyFill="1" applyAlignment="1">
      <alignment wrapText="1"/>
    </xf>
    <xf numFmtId="0" fontId="98" fillId="0" borderId="0" xfId="0" applyFont="1" applyAlignment="1">
      <alignment vertical="center" wrapText="1"/>
    </xf>
    <xf numFmtId="0" fontId="33" fillId="0" borderId="0" xfId="0" applyFont="1" applyAlignment="1">
      <alignment wrapText="1"/>
    </xf>
    <xf numFmtId="0" fontId="57" fillId="36" borderId="0" xfId="0" applyFont="1" applyFill="1"/>
    <xf numFmtId="0" fontId="76" fillId="0" borderId="83" xfId="0" applyFont="1" applyBorder="1" applyAlignment="1">
      <alignment horizontal="left" vertical="center" wrapText="1"/>
    </xf>
    <xf numFmtId="0" fontId="76" fillId="0" borderId="52" xfId="0" applyFont="1" applyBorder="1" applyAlignment="1">
      <alignment horizontal="left" vertical="center" wrapText="1"/>
    </xf>
    <xf numFmtId="0" fontId="76" fillId="0" borderId="27" xfId="0" applyFont="1" applyBorder="1" applyAlignment="1">
      <alignment horizontal="left" vertical="center" wrapText="1"/>
    </xf>
    <xf numFmtId="0" fontId="76" fillId="0" borderId="40" xfId="0" applyFont="1" applyBorder="1" applyAlignment="1">
      <alignment horizontal="left" vertical="center" wrapText="1"/>
    </xf>
    <xf numFmtId="0" fontId="76" fillId="0" borderId="37" xfId="0" applyFont="1" applyBorder="1" applyAlignment="1">
      <alignment horizontal="left" vertical="center" wrapText="1"/>
    </xf>
    <xf numFmtId="0" fontId="76" fillId="0" borderId="36" xfId="0" applyFont="1" applyBorder="1" applyAlignment="1">
      <alignment horizontal="left" vertical="center" wrapText="1"/>
    </xf>
    <xf numFmtId="0" fontId="76" fillId="0" borderId="0" xfId="0" applyFont="1" applyAlignment="1">
      <alignment vertical="center"/>
    </xf>
    <xf numFmtId="0" fontId="0" fillId="0" borderId="40" xfId="0" applyBorder="1" applyAlignment="1">
      <alignment horizontal="left" vertical="center" wrapText="1"/>
    </xf>
    <xf numFmtId="0" fontId="0" fillId="0" borderId="0" xfId="0" applyBorder="1" applyAlignment="1">
      <alignment horizontal="center" vertical="center" wrapText="1"/>
    </xf>
    <xf numFmtId="0" fontId="0" fillId="0" borderId="36" xfId="0" applyBorder="1" applyAlignment="1">
      <alignment horizontal="left" vertical="center" wrapText="1"/>
    </xf>
    <xf numFmtId="0" fontId="0" fillId="2" borderId="24" xfId="0" applyFill="1" applyBorder="1" applyAlignment="1">
      <alignment vertical="center" wrapText="1"/>
    </xf>
    <xf numFmtId="0" fontId="0" fillId="2" borderId="40" xfId="0" applyFill="1" applyBorder="1" applyAlignment="1">
      <alignment horizontal="left" vertical="center" wrapText="1"/>
    </xf>
    <xf numFmtId="0" fontId="0" fillId="2" borderId="36" xfId="0" applyFill="1" applyBorder="1" applyAlignment="1">
      <alignment horizontal="left" vertical="center" wrapText="1"/>
    </xf>
    <xf numFmtId="0" fontId="0" fillId="2" borderId="52" xfId="0" applyFill="1" applyBorder="1" applyAlignment="1">
      <alignment vertical="center" wrapText="1"/>
    </xf>
    <xf numFmtId="0" fontId="0" fillId="2" borderId="40" xfId="0" applyFill="1" applyBorder="1" applyAlignment="1">
      <alignment vertical="center" wrapText="1"/>
    </xf>
    <xf numFmtId="0" fontId="0" fillId="2" borderId="36" xfId="0" applyFill="1" applyBorder="1" applyAlignment="1">
      <alignment vertical="center" wrapText="1"/>
    </xf>
    <xf numFmtId="0" fontId="0" fillId="2" borderId="52" xfId="0" applyFill="1" applyBorder="1" applyAlignment="1">
      <alignment horizontal="center" vertical="center" wrapText="1"/>
    </xf>
    <xf numFmtId="0" fontId="0" fillId="2" borderId="40" xfId="0" applyFill="1" applyBorder="1" applyAlignment="1">
      <alignment horizontal="center" vertical="center" wrapText="1"/>
    </xf>
    <xf numFmtId="0" fontId="0" fillId="2" borderId="36" xfId="0" applyFill="1" applyBorder="1" applyAlignment="1">
      <alignment horizontal="center" vertical="center" wrapText="1"/>
    </xf>
    <xf numFmtId="0" fontId="0" fillId="10" borderId="0" xfId="0" applyFill="1" applyBorder="1" applyAlignment="1">
      <alignment wrapText="1"/>
    </xf>
    <xf numFmtId="177" fontId="0" fillId="34" borderId="27" xfId="0" applyNumberFormat="1" applyFill="1" applyBorder="1" applyAlignment="1">
      <alignment horizontal="center" vertical="center" wrapText="1"/>
    </xf>
    <xf numFmtId="177" fontId="0" fillId="34" borderId="0" xfId="0" applyNumberFormat="1" applyFill="1" applyBorder="1" applyAlignment="1">
      <alignment horizontal="center" vertical="center" wrapText="1"/>
    </xf>
    <xf numFmtId="0" fontId="8" fillId="0" borderId="0" xfId="0" applyFont="1" applyFill="1" applyBorder="1" applyAlignment="1">
      <alignment wrapText="1"/>
    </xf>
    <xf numFmtId="0" fontId="7" fillId="0" borderId="34" xfId="0" applyFont="1" applyBorder="1" applyAlignment="1">
      <alignment horizontal="center"/>
    </xf>
    <xf numFmtId="0" fontId="33" fillId="0" borderId="0" xfId="0" applyFont="1" applyBorder="1" applyAlignment="1">
      <alignment horizontal="left" vertical="center" wrapText="1"/>
    </xf>
    <xf numFmtId="0" fontId="0" fillId="0" borderId="0" xfId="0" applyAlignment="1">
      <alignment wrapText="1"/>
    </xf>
    <xf numFmtId="0" fontId="11" fillId="0" borderId="54" xfId="0" applyFont="1" applyBorder="1" applyAlignment="1">
      <alignment horizontal="left" vertical="top" wrapText="1"/>
    </xf>
    <xf numFmtId="0" fontId="0" fillId="0" borderId="54" xfId="0" applyFont="1" applyBorder="1" applyAlignment="1">
      <alignment wrapText="1"/>
    </xf>
    <xf numFmtId="0" fontId="13" fillId="0" borderId="0" xfId="0" applyFont="1" applyAlignment="1">
      <alignment horizontal="center" vertical="top" wrapText="1"/>
    </xf>
    <xf numFmtId="0" fontId="0" fillId="0" borderId="0" xfId="0" applyAlignment="1">
      <alignment horizontal="center" vertical="top" wrapText="1"/>
    </xf>
    <xf numFmtId="0" fontId="8" fillId="0" borderId="54" xfId="0" applyFont="1" applyBorder="1" applyAlignment="1">
      <alignment horizontal="left" vertical="center" wrapText="1"/>
    </xf>
    <xf numFmtId="0" fontId="8" fillId="0" borderId="52" xfId="0" applyFont="1" applyBorder="1" applyAlignment="1">
      <alignment horizontal="left" vertical="center" wrapText="1"/>
    </xf>
    <xf numFmtId="0" fontId="8" fillId="0" borderId="0" xfId="0" applyFont="1" applyBorder="1" applyAlignment="1">
      <alignment horizontal="left" vertical="center" wrapText="1"/>
    </xf>
    <xf numFmtId="0" fontId="8" fillId="0" borderId="40" xfId="0" applyFont="1" applyBorder="1" applyAlignment="1">
      <alignment horizontal="left" vertical="center" wrapText="1"/>
    </xf>
    <xf numFmtId="0" fontId="8" fillId="0" borderId="34" xfId="0" applyFont="1" applyBorder="1" applyAlignment="1">
      <alignment horizontal="left" vertical="center" wrapText="1"/>
    </xf>
    <xf numFmtId="0" fontId="8" fillId="0" borderId="36" xfId="0" applyFont="1" applyBorder="1" applyAlignment="1">
      <alignment horizontal="left" vertical="center" wrapText="1"/>
    </xf>
    <xf numFmtId="0" fontId="57" fillId="0" borderId="0" xfId="0" applyFont="1" applyAlignment="1">
      <alignment vertical="top" wrapText="1"/>
    </xf>
    <xf numFmtId="0" fontId="57" fillId="0" borderId="27" xfId="0" applyFont="1" applyFill="1" applyBorder="1" applyAlignment="1">
      <alignment wrapText="1"/>
    </xf>
    <xf numFmtId="0" fontId="57" fillId="0" borderId="0" xfId="0" applyFont="1" applyFill="1" applyAlignment="1">
      <alignment wrapText="1"/>
    </xf>
    <xf numFmtId="0" fontId="57" fillId="0" borderId="37" xfId="0" applyFont="1" applyBorder="1" applyAlignment="1">
      <alignment vertical="top" wrapText="1"/>
    </xf>
    <xf numFmtId="0" fontId="57" fillId="0" borderId="34" xfId="0" applyFont="1" applyBorder="1" applyAlignment="1">
      <alignment vertical="top" wrapText="1"/>
    </xf>
    <xf numFmtId="0" fontId="57" fillId="0" borderId="58" xfId="0" applyFont="1" applyBorder="1" applyAlignment="1">
      <alignment vertical="top" wrapText="1"/>
    </xf>
    <xf numFmtId="0" fontId="57" fillId="0" borderId="59" xfId="0" applyFont="1" applyBorder="1" applyAlignment="1">
      <alignment vertical="top" wrapText="1"/>
    </xf>
    <xf numFmtId="0" fontId="57" fillId="35" borderId="57" xfId="0" applyFont="1" applyFill="1" applyBorder="1" applyAlignment="1">
      <alignment wrapText="1"/>
    </xf>
    <xf numFmtId="0" fontId="57" fillId="35" borderId="58" xfId="0" applyFont="1" applyFill="1" applyBorder="1" applyAlignment="1">
      <alignment wrapText="1"/>
    </xf>
    <xf numFmtId="0" fontId="57" fillId="35" borderId="59" xfId="0" applyFont="1" applyFill="1" applyBorder="1" applyAlignment="1">
      <alignment wrapText="1"/>
    </xf>
    <xf numFmtId="0" fontId="62" fillId="35" borderId="57" xfId="0" applyFont="1" applyFill="1" applyBorder="1"/>
    <xf numFmtId="0" fontId="62" fillId="35" borderId="58" xfId="0" applyFont="1" applyFill="1" applyBorder="1"/>
    <xf numFmtId="0" fontId="62" fillId="35" borderId="59" xfId="0" applyFont="1" applyFill="1" applyBorder="1"/>
    <xf numFmtId="0" fontId="62" fillId="35" borderId="83" xfId="0" applyFont="1" applyFill="1" applyBorder="1"/>
    <xf numFmtId="0" fontId="62" fillId="35" borderId="54" xfId="0" applyFont="1" applyFill="1" applyBorder="1"/>
    <xf numFmtId="0" fontId="62" fillId="35" borderId="52" xfId="0" applyFont="1" applyFill="1" applyBorder="1"/>
    <xf numFmtId="0" fontId="94" fillId="0" borderId="0" xfId="0" applyFont="1" applyAlignment="1">
      <alignment horizontal="center" vertical="center" wrapText="1"/>
    </xf>
    <xf numFmtId="0" fontId="94" fillId="39" borderId="0" xfId="0" applyFont="1" applyFill="1" applyAlignment="1">
      <alignment horizontal="center" vertical="center" wrapText="1"/>
    </xf>
    <xf numFmtId="0" fontId="33" fillId="0" borderId="0" xfId="0" applyFont="1" applyAlignment="1">
      <alignment horizontal="left" vertical="center" wrapText="1"/>
    </xf>
    <xf numFmtId="0" fontId="53" fillId="36" borderId="0" xfId="0" applyFont="1" applyFill="1" applyAlignment="1">
      <alignment vertical="top" wrapText="1"/>
    </xf>
    <xf numFmtId="0" fontId="0" fillId="3" borderId="0" xfId="0" applyFill="1" applyAlignment="1">
      <alignment wrapText="1"/>
    </xf>
    <xf numFmtId="0" fontId="85" fillId="0" borderId="0" xfId="0" applyFont="1" applyAlignment="1">
      <alignment horizontal="center" vertical="top" wrapText="1"/>
    </xf>
    <xf numFmtId="0" fontId="0" fillId="0" borderId="54" xfId="0" quotePrefix="1" applyFont="1" applyFill="1" applyBorder="1" applyAlignment="1">
      <alignment vertical="top" wrapText="1"/>
    </xf>
    <xf numFmtId="0" fontId="0" fillId="0" borderId="0" xfId="0" quotePrefix="1" applyFont="1" applyFill="1" applyBorder="1" applyAlignment="1">
      <alignment vertical="top" wrapText="1"/>
    </xf>
    <xf numFmtId="0" fontId="0" fillId="0" borderId="27" xfId="0" applyBorder="1" applyAlignment="1">
      <alignment horizontal="left" wrapText="1"/>
    </xf>
    <xf numFmtId="0" fontId="0" fillId="0" borderId="40" xfId="0" applyBorder="1" applyAlignment="1">
      <alignment horizontal="left" wrapText="1"/>
    </xf>
    <xf numFmtId="0" fontId="0" fillId="0" borderId="27" xfId="0" applyBorder="1" applyAlignment="1">
      <alignment wrapText="1"/>
    </xf>
    <xf numFmtId="0" fontId="0" fillId="0" borderId="40" xfId="0" applyBorder="1" applyAlignment="1">
      <alignment wrapText="1"/>
    </xf>
    <xf numFmtId="0" fontId="0" fillId="0" borderId="37" xfId="0" applyBorder="1" applyAlignment="1">
      <alignment wrapText="1"/>
    </xf>
    <xf numFmtId="0" fontId="0" fillId="0" borderId="36" xfId="0" applyBorder="1" applyAlignment="1">
      <alignment wrapText="1"/>
    </xf>
    <xf numFmtId="0" fontId="0" fillId="0" borderId="57" xfId="0" applyBorder="1"/>
    <xf numFmtId="0" fontId="0" fillId="0" borderId="59" xfId="0" applyBorder="1"/>
    <xf numFmtId="0" fontId="7" fillId="3" borderId="0" xfId="0" applyFont="1" applyFill="1" applyBorder="1" applyAlignment="1">
      <alignment horizontal="center" vertical="center" wrapText="1"/>
    </xf>
    <xf numFmtId="0" fontId="0" fillId="0" borderId="122" xfId="0" applyBorder="1" applyAlignment="1">
      <alignment vertical="top" wrapText="1"/>
    </xf>
    <xf numFmtId="0" fontId="0" fillId="0" borderId="0" xfId="0" applyBorder="1" applyAlignment="1">
      <alignment vertical="top" wrapText="1"/>
    </xf>
    <xf numFmtId="0" fontId="0" fillId="0" borderId="0" xfId="0" applyAlignment="1">
      <alignment horizontal="left" wrapText="1"/>
    </xf>
    <xf numFmtId="165" fontId="0" fillId="0" borderId="34" xfId="1" applyFont="1" applyBorder="1" applyAlignment="1">
      <alignment horizontal="center"/>
    </xf>
    <xf numFmtId="165" fontId="0" fillId="0" borderId="0" xfId="1" applyFont="1" applyFill="1" applyAlignment="1">
      <alignment wrapText="1"/>
    </xf>
    <xf numFmtId="165" fontId="0" fillId="0" borderId="37" xfId="1" applyFont="1" applyBorder="1" applyAlignment="1">
      <alignment wrapText="1"/>
    </xf>
    <xf numFmtId="165" fontId="0" fillId="0" borderId="34" xfId="1" applyFont="1" applyBorder="1" applyAlignment="1">
      <alignment wrapText="1"/>
    </xf>
    <xf numFmtId="165" fontId="0" fillId="0" borderId="36" xfId="1" applyFont="1" applyBorder="1" applyAlignment="1">
      <alignment wrapText="1"/>
    </xf>
    <xf numFmtId="165" fontId="0" fillId="0" borderId="0" xfId="1" applyFont="1" applyFill="1" applyBorder="1" applyAlignment="1">
      <alignment horizontal="left" wrapText="1"/>
    </xf>
    <xf numFmtId="165" fontId="7" fillId="0" borderId="54" xfId="1" applyFont="1" applyBorder="1" applyAlignment="1">
      <alignment horizontal="center"/>
    </xf>
    <xf numFmtId="165" fontId="7" fillId="33" borderId="54" xfId="1" applyFont="1" applyFill="1" applyBorder="1" applyAlignment="1">
      <alignment horizontal="center"/>
    </xf>
    <xf numFmtId="165" fontId="7" fillId="33" borderId="52" xfId="1" applyFont="1" applyFill="1" applyBorder="1" applyAlignment="1">
      <alignment horizontal="center"/>
    </xf>
    <xf numFmtId="165" fontId="0" fillId="0" borderId="83" xfId="1" applyFont="1" applyBorder="1" applyAlignment="1">
      <alignment wrapText="1"/>
    </xf>
    <xf numFmtId="165" fontId="0" fillId="0" borderId="54" xfId="1" applyFont="1" applyBorder="1" applyAlignment="1">
      <alignment wrapText="1"/>
    </xf>
    <xf numFmtId="165" fontId="0" fillId="0" borderId="52" xfId="1" applyFont="1" applyBorder="1" applyAlignment="1">
      <alignment wrapText="1"/>
    </xf>
    <xf numFmtId="165" fontId="0" fillId="0" borderId="27" xfId="1" applyFont="1" applyBorder="1" applyAlignment="1">
      <alignment wrapText="1"/>
    </xf>
    <xf numFmtId="165" fontId="0" fillId="0" borderId="0" xfId="1" applyFont="1" applyBorder="1" applyAlignment="1">
      <alignment wrapText="1"/>
    </xf>
    <xf numFmtId="165" fontId="0" fillId="0" borderId="40" xfId="1" applyFont="1" applyBorder="1" applyAlignment="1">
      <alignment wrapText="1"/>
    </xf>
    <xf numFmtId="165" fontId="53" fillId="36" borderId="0" xfId="1" applyFont="1" applyFill="1" applyAlignment="1"/>
    <xf numFmtId="165" fontId="23" fillId="5" borderId="75" xfId="1" applyFont="1" applyFill="1" applyBorder="1" applyAlignment="1">
      <alignment vertical="center" wrapText="1"/>
    </xf>
    <xf numFmtId="165" fontId="23" fillId="5" borderId="78" xfId="1" applyFont="1" applyFill="1" applyBorder="1" applyAlignment="1">
      <alignment vertical="center" wrapText="1"/>
    </xf>
    <xf numFmtId="165" fontId="23" fillId="5" borderId="80" xfId="1" applyFont="1" applyFill="1" applyBorder="1" applyAlignment="1">
      <alignment vertical="center" wrapText="1"/>
    </xf>
    <xf numFmtId="165" fontId="23" fillId="5" borderId="76" xfId="1" applyFont="1" applyFill="1" applyBorder="1" applyAlignment="1">
      <alignment vertical="center" wrapText="1"/>
    </xf>
    <xf numFmtId="165" fontId="24" fillId="0" borderId="58" xfId="1" applyFont="1" applyBorder="1" applyAlignment="1">
      <alignment vertical="top" wrapText="1"/>
    </xf>
    <xf numFmtId="165" fontId="0" fillId="0" borderId="58" xfId="1" applyFont="1" applyBorder="1" applyAlignment="1">
      <alignment vertical="top" wrapText="1"/>
    </xf>
    <xf numFmtId="165" fontId="0" fillId="0" borderId="59" xfId="1" applyFont="1" applyBorder="1" applyAlignment="1">
      <alignment vertical="top" wrapText="1"/>
    </xf>
    <xf numFmtId="165" fontId="55" fillId="0" borderId="27" xfId="1" applyFont="1" applyBorder="1" applyAlignment="1">
      <alignment horizontal="left" vertical="center" wrapText="1" indent="3"/>
    </xf>
    <xf numFmtId="165" fontId="57" fillId="0" borderId="0" xfId="1" applyFont="1" applyBorder="1" applyAlignment="1">
      <alignment wrapText="1"/>
    </xf>
    <xf numFmtId="165" fontId="57" fillId="0" borderId="40" xfId="1" applyFont="1" applyBorder="1" applyAlignment="1">
      <alignment wrapText="1"/>
    </xf>
    <xf numFmtId="0" fontId="9" fillId="0" borderId="57" xfId="0" applyFont="1" applyBorder="1" applyAlignment="1">
      <alignment wrapText="1"/>
    </xf>
    <xf numFmtId="0" fontId="0" fillId="0" borderId="59" xfId="0" applyBorder="1" applyAlignment="1">
      <alignment wrapText="1"/>
    </xf>
    <xf numFmtId="0" fontId="59" fillId="0" borderId="83" xfId="0" applyFont="1" applyBorder="1" applyAlignment="1">
      <alignment wrapText="1"/>
    </xf>
    <xf numFmtId="0" fontId="0" fillId="0" borderId="54" xfId="0" applyBorder="1" applyAlignment="1">
      <alignment wrapText="1"/>
    </xf>
    <xf numFmtId="0" fontId="0" fillId="0" borderId="52" xfId="0" applyBorder="1" applyAlignment="1">
      <alignment wrapText="1"/>
    </xf>
    <xf numFmtId="0" fontId="0" fillId="0" borderId="0" xfId="0" applyBorder="1" applyAlignment="1">
      <alignment wrapText="1"/>
    </xf>
    <xf numFmtId="0" fontId="0" fillId="0" borderId="34" xfId="0" applyBorder="1" applyAlignment="1">
      <alignment wrapText="1"/>
    </xf>
    <xf numFmtId="0" fontId="33" fillId="0" borderId="57" xfId="0" applyFont="1" applyBorder="1" applyAlignment="1">
      <alignment wrapText="1"/>
    </xf>
    <xf numFmtId="0" fontId="0" fillId="0" borderId="58" xfId="0" applyBorder="1" applyAlignment="1">
      <alignment wrapText="1"/>
    </xf>
    <xf numFmtId="0" fontId="23" fillId="5" borderId="72" xfId="0" applyFont="1" applyFill="1" applyBorder="1" applyAlignment="1">
      <alignment vertical="center" wrapText="1"/>
    </xf>
    <xf numFmtId="0" fontId="23" fillId="5" borderId="73" xfId="0" applyFont="1" applyFill="1" applyBorder="1" applyAlignment="1">
      <alignment vertical="center" wrapText="1"/>
    </xf>
    <xf numFmtId="0" fontId="23" fillId="5" borderId="80" xfId="0" applyFont="1" applyFill="1" applyBorder="1" applyAlignment="1">
      <alignment vertical="center" wrapText="1"/>
    </xf>
    <xf numFmtId="0" fontId="23" fillId="5" borderId="76" xfId="0" applyFont="1" applyFill="1" applyBorder="1" applyAlignment="1">
      <alignment vertical="center" wrapText="1"/>
    </xf>
    <xf numFmtId="0" fontId="23" fillId="5" borderId="75" xfId="0" applyFont="1" applyFill="1" applyBorder="1" applyAlignment="1">
      <alignment vertical="center" wrapText="1"/>
    </xf>
    <xf numFmtId="0" fontId="23" fillId="5" borderId="78" xfId="0" applyFont="1" applyFill="1" applyBorder="1" applyAlignment="1">
      <alignment vertical="center" wrapText="1"/>
    </xf>
    <xf numFmtId="0" fontId="59" fillId="0" borderId="54" xfId="0" applyFont="1" applyBorder="1" applyAlignment="1">
      <alignment wrapText="1"/>
    </xf>
    <xf numFmtId="0" fontId="59" fillId="0" borderId="52" xfId="0" applyFont="1" applyBorder="1" applyAlignment="1">
      <alignment wrapText="1"/>
    </xf>
    <xf numFmtId="0" fontId="59" fillId="0" borderId="27" xfId="0" applyFont="1" applyBorder="1" applyAlignment="1">
      <alignment wrapText="1"/>
    </xf>
    <xf numFmtId="0" fontId="59" fillId="0" borderId="0" xfId="0" applyFont="1" applyBorder="1" applyAlignment="1">
      <alignment wrapText="1"/>
    </xf>
    <xf numFmtId="0" fontId="59" fillId="0" borderId="40" xfId="0" applyFont="1" applyBorder="1" applyAlignment="1">
      <alignment wrapText="1"/>
    </xf>
    <xf numFmtId="0" fontId="59" fillId="0" borderId="37" xfId="0" applyFont="1" applyBorder="1" applyAlignment="1">
      <alignment wrapText="1"/>
    </xf>
    <xf numFmtId="0" fontId="59" fillId="0" borderId="34" xfId="0" applyFont="1" applyBorder="1" applyAlignment="1">
      <alignment wrapText="1"/>
    </xf>
    <xf numFmtId="0" fontId="59" fillId="0" borderId="36" xfId="0" applyFont="1" applyBorder="1" applyAlignment="1">
      <alignment wrapText="1"/>
    </xf>
    <xf numFmtId="165" fontId="67" fillId="0" borderId="37" xfId="1" applyFont="1" applyBorder="1" applyAlignment="1">
      <alignment horizontal="left" vertical="center" wrapText="1" indent="3"/>
    </xf>
    <xf numFmtId="165" fontId="59" fillId="0" borderId="34" xfId="1" applyFont="1" applyBorder="1" applyAlignment="1">
      <alignment wrapText="1"/>
    </xf>
    <xf numFmtId="165" fontId="59" fillId="0" borderId="36" xfId="1" applyFont="1" applyBorder="1" applyAlignment="1">
      <alignment wrapText="1"/>
    </xf>
    <xf numFmtId="0" fontId="33" fillId="0" borderId="0" xfId="0" applyFont="1" applyFill="1" applyBorder="1" applyAlignment="1">
      <alignment vertical="top" wrapText="1"/>
    </xf>
    <xf numFmtId="0" fontId="33" fillId="0" borderId="0" xfId="0" applyFont="1" applyBorder="1" applyAlignment="1">
      <alignment horizontal="left" vertical="top" wrapText="1"/>
    </xf>
    <xf numFmtId="0" fontId="0" fillId="3" borderId="27" xfId="0" applyFill="1" applyBorder="1" applyAlignment="1">
      <alignment horizontal="right" vertical="center" wrapText="1"/>
    </xf>
    <xf numFmtId="0" fontId="79" fillId="0" borderId="83" xfId="0" applyFont="1" applyBorder="1" applyAlignment="1">
      <alignment vertical="center" wrapText="1"/>
    </xf>
    <xf numFmtId="0" fontId="79" fillId="0" borderId="54" xfId="0" applyFont="1" applyBorder="1" applyAlignment="1">
      <alignment vertical="center" wrapText="1"/>
    </xf>
    <xf numFmtId="0" fontId="79" fillId="0" borderId="52" xfId="0" applyFont="1" applyBorder="1" applyAlignment="1">
      <alignment vertical="center" wrapText="1"/>
    </xf>
    <xf numFmtId="0" fontId="7" fillId="0" borderId="57" xfId="0" applyFont="1" applyBorder="1" applyAlignment="1">
      <alignment horizontal="center" vertical="center" wrapText="1"/>
    </xf>
    <xf numFmtId="0" fontId="7" fillId="0" borderId="59" xfId="0" applyFont="1" applyBorder="1" applyAlignment="1">
      <alignment horizontal="center" vertical="center" wrapText="1"/>
    </xf>
    <xf numFmtId="0" fontId="64" fillId="5" borderId="75" xfId="0" applyFont="1" applyFill="1" applyBorder="1" applyAlignment="1">
      <alignment vertical="top" wrapText="1"/>
    </xf>
    <xf numFmtId="0" fontId="64" fillId="5" borderId="78" xfId="0" applyFont="1" applyFill="1" applyBorder="1" applyAlignment="1">
      <alignment vertical="top" wrapText="1"/>
    </xf>
    <xf numFmtId="165" fontId="62" fillId="28" borderId="0" xfId="1" applyNumberFormat="1" applyFont="1" applyFill="1" applyBorder="1" applyAlignment="1">
      <alignment wrapText="1"/>
    </xf>
    <xf numFmtId="165" fontId="62" fillId="28" borderId="0" xfId="1" applyNumberFormat="1" applyFont="1" applyFill="1" applyAlignment="1">
      <alignment wrapText="1"/>
    </xf>
    <xf numFmtId="0" fontId="65" fillId="5" borderId="99" xfId="0" applyFont="1" applyFill="1" applyBorder="1" applyAlignment="1">
      <alignment vertical="top" wrapText="1"/>
    </xf>
    <xf numFmtId="0" fontId="65" fillId="5" borderId="123" xfId="0" applyFont="1" applyFill="1" applyBorder="1" applyAlignment="1">
      <alignment vertical="top" wrapText="1"/>
    </xf>
    <xf numFmtId="0" fontId="65" fillId="5" borderId="103" xfId="0" applyFont="1" applyFill="1" applyBorder="1" applyAlignment="1">
      <alignment vertical="top" wrapText="1"/>
    </xf>
    <xf numFmtId="0" fontId="65" fillId="5" borderId="124" xfId="0" applyFont="1" applyFill="1" applyBorder="1" applyAlignment="1">
      <alignment vertical="top" wrapText="1"/>
    </xf>
    <xf numFmtId="0" fontId="65" fillId="5" borderId="107" xfId="0" applyFont="1" applyFill="1" applyBorder="1" applyAlignment="1">
      <alignment vertical="top" wrapText="1"/>
    </xf>
    <xf numFmtId="0" fontId="57" fillId="0" borderId="0" xfId="0" applyFont="1" applyFill="1" applyAlignment="1">
      <alignment vertical="top" wrapText="1"/>
    </xf>
    <xf numFmtId="0" fontId="0" fillId="0" borderId="37" xfId="0" applyBorder="1" applyAlignment="1">
      <alignment vertical="top" wrapText="1"/>
    </xf>
    <xf numFmtId="0" fontId="0" fillId="0" borderId="34" xfId="0" applyBorder="1" applyAlignment="1">
      <alignment vertical="top" wrapText="1"/>
    </xf>
    <xf numFmtId="0" fontId="0" fillId="0" borderId="36" xfId="0" applyBorder="1" applyAlignment="1">
      <alignment vertical="top" wrapText="1"/>
    </xf>
    <xf numFmtId="0" fontId="0" fillId="10" borderId="83" xfId="0" applyFill="1" applyBorder="1" applyAlignment="1">
      <alignment wrapText="1"/>
    </xf>
    <xf numFmtId="0" fontId="0" fillId="10" borderId="54" xfId="0" applyFill="1" applyBorder="1" applyAlignment="1">
      <alignment wrapText="1"/>
    </xf>
    <xf numFmtId="0" fontId="0" fillId="10" borderId="52" xfId="0" applyFill="1" applyBorder="1" applyAlignment="1">
      <alignment wrapText="1"/>
    </xf>
    <xf numFmtId="0" fontId="0" fillId="0" borderId="37" xfId="0" applyFill="1" applyBorder="1" applyAlignment="1">
      <alignment wrapText="1"/>
    </xf>
    <xf numFmtId="170" fontId="67" fillId="3" borderId="27" xfId="0" applyNumberFormat="1" applyFont="1" applyFill="1" applyBorder="1" applyAlignment="1">
      <alignment horizontal="left" vertical="top" wrapText="1"/>
    </xf>
    <xf numFmtId="170" fontId="67" fillId="3" borderId="0" xfId="0" applyNumberFormat="1" applyFont="1" applyFill="1" applyBorder="1" applyAlignment="1">
      <alignment horizontal="left" vertical="top" wrapText="1"/>
    </xf>
    <xf numFmtId="0" fontId="67" fillId="23" borderId="0" xfId="0" applyFont="1" applyFill="1" applyBorder="1" applyAlignment="1">
      <alignment vertical="center" wrapText="1"/>
    </xf>
    <xf numFmtId="0" fontId="67" fillId="29" borderId="0" xfId="0" applyFont="1" applyFill="1" applyBorder="1" applyAlignment="1">
      <alignment vertical="center" wrapText="1"/>
    </xf>
    <xf numFmtId="0" fontId="67" fillId="30" borderId="0" xfId="0" applyFont="1" applyFill="1" applyBorder="1" applyAlignment="1">
      <alignment vertical="center" wrapText="1"/>
    </xf>
    <xf numFmtId="0" fontId="67" fillId="0" borderId="44" xfId="0" applyFont="1" applyBorder="1" applyAlignment="1">
      <alignment horizontal="center" vertical="center" wrapText="1"/>
    </xf>
    <xf numFmtId="0" fontId="67" fillId="0" borderId="45" xfId="0" applyFont="1" applyBorder="1" applyAlignment="1">
      <alignment horizontal="center" vertical="center" wrapText="1"/>
    </xf>
    <xf numFmtId="0" fontId="67" fillId="0" borderId="51" xfId="0" applyFont="1" applyBorder="1" applyAlignment="1">
      <alignment horizontal="center" vertical="center" wrapText="1"/>
    </xf>
    <xf numFmtId="0" fontId="67" fillId="0" borderId="30" xfId="0" applyFont="1" applyBorder="1" applyAlignment="1">
      <alignment horizontal="center" vertical="center" wrapText="1"/>
    </xf>
    <xf numFmtId="0" fontId="67" fillId="26" borderId="27" xfId="0" applyFont="1" applyFill="1" applyBorder="1" applyAlignment="1">
      <alignment vertical="top" wrapText="1"/>
    </xf>
    <xf numFmtId="0" fontId="67" fillId="26" borderId="0" xfId="0" applyFont="1" applyFill="1" applyBorder="1" applyAlignment="1">
      <alignment vertical="top" wrapText="1"/>
    </xf>
    <xf numFmtId="0" fontId="67" fillId="31" borderId="0" xfId="0" applyFont="1" applyFill="1" applyBorder="1" applyAlignment="1">
      <alignment vertical="center" wrapText="1"/>
    </xf>
    <xf numFmtId="0" fontId="67" fillId="0" borderId="49" xfId="0" applyFont="1" applyBorder="1" applyAlignment="1">
      <alignment horizontal="center" vertical="center" wrapText="1"/>
    </xf>
    <xf numFmtId="0" fontId="59" fillId="0" borderId="61" xfId="0" applyFont="1" applyBorder="1" applyAlignment="1">
      <alignment vertical="center"/>
    </xf>
    <xf numFmtId="0" fontId="59" fillId="0" borderId="38" xfId="0" applyFont="1" applyBorder="1" applyAlignment="1">
      <alignment vertical="center"/>
    </xf>
    <xf numFmtId="0" fontId="59" fillId="0" borderId="35" xfId="0" applyFont="1" applyBorder="1" applyAlignment="1">
      <alignment vertical="center"/>
    </xf>
    <xf numFmtId="0" fontId="59" fillId="0" borderId="49" xfId="0" applyFont="1" applyBorder="1" applyAlignment="1">
      <alignment horizontal="center" vertical="center"/>
    </xf>
    <xf numFmtId="0" fontId="59" fillId="0" borderId="50" xfId="0" applyFont="1" applyBorder="1" applyAlignment="1">
      <alignment horizontal="center" vertical="center"/>
    </xf>
    <xf numFmtId="0" fontId="59" fillId="0" borderId="45" xfId="0" applyFont="1" applyBorder="1" applyAlignment="1">
      <alignment horizontal="center" vertical="center"/>
    </xf>
    <xf numFmtId="0" fontId="67" fillId="0" borderId="62" xfId="0" applyFont="1" applyBorder="1" applyAlignment="1">
      <alignment vertical="center" wrapText="1"/>
    </xf>
    <xf numFmtId="0" fontId="67" fillId="0" borderId="63" xfId="0" applyFont="1" applyBorder="1" applyAlignment="1">
      <alignment vertical="center" wrapText="1"/>
    </xf>
    <xf numFmtId="0" fontId="59" fillId="0" borderId="41" xfId="0" applyFont="1" applyBorder="1" applyAlignment="1">
      <alignment horizontal="center" vertical="center"/>
    </xf>
    <xf numFmtId="0" fontId="59" fillId="0" borderId="42" xfId="0" applyFont="1" applyBorder="1" applyAlignment="1">
      <alignment horizontal="center" vertical="center"/>
    </xf>
    <xf numFmtId="0" fontId="59" fillId="0" borderId="43" xfId="0" applyFont="1" applyBorder="1" applyAlignment="1">
      <alignment horizontal="center" vertical="center"/>
    </xf>
    <xf numFmtId="0" fontId="67" fillId="0" borderId="28" xfId="0" applyFont="1" applyBorder="1" applyAlignment="1">
      <alignment horizontal="center" vertical="center" wrapText="1"/>
    </xf>
    <xf numFmtId="0" fontId="67" fillId="0" borderId="29" xfId="0" applyFont="1" applyBorder="1" applyAlignment="1">
      <alignment horizontal="center" vertical="center" wrapText="1"/>
    </xf>
    <xf numFmtId="0" fontId="59" fillId="0" borderId="46" xfId="0" applyFont="1" applyBorder="1" applyAlignment="1">
      <alignment horizontal="center" vertical="center"/>
    </xf>
    <xf numFmtId="0" fontId="59" fillId="0" borderId="47" xfId="0" applyFont="1" applyBorder="1" applyAlignment="1">
      <alignment horizontal="center" vertical="center"/>
    </xf>
    <xf numFmtId="0" fontId="59" fillId="0" borderId="48" xfId="0" applyFont="1" applyBorder="1" applyAlignment="1">
      <alignment horizontal="center" vertical="center"/>
    </xf>
    <xf numFmtId="0" fontId="67" fillId="0" borderId="62" xfId="0" applyFont="1" applyBorder="1" applyAlignment="1">
      <alignment horizontal="center" vertical="center" wrapText="1"/>
    </xf>
    <xf numFmtId="0" fontId="67" fillId="0" borderId="63" xfId="0" applyFont="1" applyBorder="1" applyAlignment="1">
      <alignment horizontal="center" vertical="center" wrapText="1"/>
    </xf>
    <xf numFmtId="0" fontId="71" fillId="0" borderId="55" xfId="0" applyFont="1" applyBorder="1" applyAlignment="1">
      <alignment vertical="center"/>
    </xf>
    <xf numFmtId="0" fontId="71" fillId="0" borderId="35" xfId="0" applyFont="1" applyBorder="1" applyAlignment="1">
      <alignment vertical="center"/>
    </xf>
    <xf numFmtId="0" fontId="43" fillId="0" borderId="69" xfId="0" applyFont="1" applyBorder="1" applyAlignment="1">
      <alignment horizontal="center" vertical="center" wrapText="1"/>
    </xf>
    <xf numFmtId="0" fontId="43" fillId="0" borderId="70" xfId="0" applyFont="1" applyBorder="1" applyAlignment="1">
      <alignment horizontal="center" vertical="center" wrapText="1"/>
    </xf>
    <xf numFmtId="0" fontId="67" fillId="0" borderId="46" xfId="0" applyFont="1" applyBorder="1" applyAlignment="1">
      <alignment horizontal="center" vertical="center" wrapText="1"/>
    </xf>
    <xf numFmtId="0" fontId="67" fillId="0" borderId="48" xfId="0" applyFont="1" applyBorder="1" applyAlignment="1">
      <alignment horizontal="center" vertical="center" wrapText="1"/>
    </xf>
    <xf numFmtId="0" fontId="43" fillId="0" borderId="41" xfId="0" applyFont="1" applyBorder="1" applyAlignment="1">
      <alignment vertical="center" wrapText="1"/>
    </xf>
    <xf numFmtId="0" fontId="43" fillId="0" borderId="42" xfId="0" applyFont="1" applyBorder="1" applyAlignment="1">
      <alignment vertical="center" wrapText="1"/>
    </xf>
    <xf numFmtId="0" fontId="43" fillId="0" borderId="43" xfId="0" applyFont="1" applyBorder="1" applyAlignment="1">
      <alignment vertical="center" wrapText="1"/>
    </xf>
    <xf numFmtId="0" fontId="67" fillId="0" borderId="57" xfId="0" applyFont="1" applyBorder="1" applyAlignment="1">
      <alignment horizontal="center" vertical="center" wrapText="1"/>
    </xf>
    <xf numFmtId="0" fontId="67" fillId="0" borderId="58" xfId="0" applyFont="1" applyBorder="1" applyAlignment="1">
      <alignment horizontal="center" vertical="center" wrapText="1"/>
    </xf>
    <xf numFmtId="0" fontId="67" fillId="0" borderId="59" xfId="0" applyFont="1" applyBorder="1" applyAlignment="1">
      <alignment horizontal="center" vertical="center" wrapText="1"/>
    </xf>
    <xf numFmtId="0" fontId="67" fillId="0" borderId="71" xfId="0" applyFont="1" applyBorder="1" applyAlignment="1">
      <alignment horizontal="center" vertical="center" wrapText="1"/>
    </xf>
    <xf numFmtId="0" fontId="67" fillId="0" borderId="65" xfId="0" applyFont="1" applyBorder="1" applyAlignment="1">
      <alignment horizontal="center" vertical="center" wrapText="1"/>
    </xf>
    <xf numFmtId="0" fontId="67" fillId="0" borderId="53" xfId="0" applyFont="1" applyBorder="1" applyAlignment="1">
      <alignment horizontal="center" vertical="center" wrapText="1"/>
    </xf>
    <xf numFmtId="0" fontId="67" fillId="0" borderId="66" xfId="0" applyFont="1" applyBorder="1" applyAlignment="1">
      <alignment horizontal="center" vertical="center" wrapText="1"/>
    </xf>
    <xf numFmtId="0" fontId="59" fillId="0" borderId="41" xfId="0" applyFont="1" applyBorder="1" applyAlignment="1">
      <alignment horizontal="center" vertical="center" wrapText="1"/>
    </xf>
    <xf numFmtId="0" fontId="59" fillId="0" borderId="42" xfId="0" applyFont="1" applyBorder="1" applyAlignment="1">
      <alignment horizontal="center" vertical="center" wrapText="1"/>
    </xf>
    <xf numFmtId="0" fontId="59" fillId="0" borderId="60" xfId="0" applyFont="1" applyBorder="1" applyAlignment="1">
      <alignment horizontal="center" vertical="center" wrapText="1"/>
    </xf>
    <xf numFmtId="16" fontId="67" fillId="0" borderId="57" xfId="0" quotePrefix="1" applyNumberFormat="1" applyFont="1" applyBorder="1" applyAlignment="1">
      <alignment horizontal="center" vertical="center" wrapText="1"/>
    </xf>
    <xf numFmtId="16" fontId="67" fillId="0" borderId="59" xfId="0" applyNumberFormat="1" applyFont="1" applyBorder="1" applyAlignment="1">
      <alignment horizontal="center" vertical="center" wrapText="1"/>
    </xf>
    <xf numFmtId="16" fontId="67" fillId="0" borderId="57" xfId="0" applyNumberFormat="1" applyFont="1" applyBorder="1" applyAlignment="1">
      <alignment horizontal="center" vertical="center" wrapText="1"/>
    </xf>
    <xf numFmtId="177" fontId="33" fillId="0" borderId="0" xfId="1" applyNumberFormat="1" applyFont="1" applyFill="1" applyAlignment="1">
      <alignment wrapText="1"/>
    </xf>
    <xf numFmtId="177" fontId="59" fillId="0" borderId="0" xfId="1" applyNumberFormat="1" applyFont="1" applyFill="1" applyAlignment="1">
      <alignment wrapText="1"/>
    </xf>
    <xf numFmtId="177" fontId="71" fillId="0" borderId="57" xfId="1" applyNumberFormat="1" applyFont="1" applyBorder="1" applyAlignment="1">
      <alignment horizontal="center"/>
    </xf>
    <xf numFmtId="177" fontId="71" fillId="0" borderId="59" xfId="1" applyNumberFormat="1" applyFont="1" applyBorder="1" applyAlignment="1">
      <alignment horizontal="center"/>
    </xf>
    <xf numFmtId="177" fontId="59" fillId="0" borderId="37" xfId="1" applyNumberFormat="1" applyFont="1" applyBorder="1" applyAlignment="1">
      <alignment horizontal="center"/>
    </xf>
    <xf numFmtId="177" fontId="59" fillId="0" borderId="36" xfId="1" applyNumberFormat="1" applyFont="1" applyBorder="1" applyAlignment="1">
      <alignment horizontal="center"/>
    </xf>
    <xf numFmtId="177" fontId="59" fillId="0" borderId="83" xfId="1" quotePrefix="1" applyNumberFormat="1" applyFont="1" applyBorder="1" applyAlignment="1">
      <alignment wrapText="1"/>
    </xf>
    <xf numFmtId="177" fontId="59" fillId="0" borderId="54" xfId="1" quotePrefix="1" applyNumberFormat="1" applyFont="1" applyBorder="1" applyAlignment="1">
      <alignment wrapText="1"/>
    </xf>
    <xf numFmtId="177" fontId="59" fillId="0" borderId="27" xfId="1" quotePrefix="1" applyNumberFormat="1" applyFont="1" applyBorder="1" applyAlignment="1">
      <alignment wrapText="1"/>
    </xf>
    <xf numFmtId="177" fontId="59" fillId="0" borderId="0" xfId="1" quotePrefix="1" applyNumberFormat="1" applyFont="1" applyBorder="1" applyAlignment="1">
      <alignment wrapText="1"/>
    </xf>
    <xf numFmtId="0" fontId="10" fillId="0" borderId="0" xfId="2" applyFont="1" applyAlignment="1">
      <alignment horizontal="left"/>
    </xf>
    <xf numFmtId="0" fontId="13" fillId="0" borderId="26" xfId="0" applyFont="1" applyBorder="1" applyAlignment="1">
      <alignment horizontal="left"/>
    </xf>
    <xf numFmtId="0" fontId="0" fillId="0" borderId="57" xfId="0" applyBorder="1" applyAlignment="1">
      <alignment wrapText="1"/>
    </xf>
    <xf numFmtId="0" fontId="0" fillId="0" borderId="0" xfId="0" applyAlignment="1">
      <alignment vertical="top" wrapText="1"/>
    </xf>
  </cellXfs>
  <cellStyles count="1225">
    <cellStyle name="Comma" xfId="1" builtinId="3"/>
    <cellStyle name="Comma [0]" xfId="6" builtinId="6"/>
    <cellStyle name="Comma 2" xfId="406"/>
    <cellStyle name="Currency" xfId="595" builtinId="4"/>
    <cellStyle name="Followed Hyperlink" xfId="5"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Hyperlink" xfId="4"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Normal" xfId="0" builtinId="0"/>
    <cellStyle name="Normal 2" xfId="3"/>
    <cellStyle name="Normal 3" xfId="2"/>
    <cellStyle name="Normal 4 3" xfId="371"/>
    <cellStyle name="Percent" xfId="596" builtinId="5"/>
  </cellStyles>
  <dxfs count="0"/>
  <tableStyles count="0" defaultTableStyle="TableStyleMedium9" defaultPivotStyle="PivotStyleLight16"/>
  <colors>
    <mruColors>
      <color rgb="FF9AFEC0"/>
      <color rgb="FF89EB0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9</xdr:col>
      <xdr:colOff>589916</xdr:colOff>
      <xdr:row>0</xdr:row>
      <xdr:rowOff>211669</xdr:rowOff>
    </xdr:from>
    <xdr:to>
      <xdr:col>17</xdr:col>
      <xdr:colOff>427991</xdr:colOff>
      <xdr:row>35</xdr:row>
      <xdr:rowOff>84881</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71196" y="211669"/>
          <a:ext cx="5669915" cy="7483052"/>
        </a:xfrm>
        <a:prstGeom prst="rect">
          <a:avLst/>
        </a:prstGeom>
      </xdr:spPr>
    </xdr:pic>
    <xdr:clientData/>
  </xdr:twoCellAnchor>
  <xdr:twoCellAnchor editAs="oneCell">
    <xdr:from>
      <xdr:col>3</xdr:col>
      <xdr:colOff>91440</xdr:colOff>
      <xdr:row>85</xdr:row>
      <xdr:rowOff>274320</xdr:rowOff>
    </xdr:from>
    <xdr:to>
      <xdr:col>6</xdr:col>
      <xdr:colOff>1344039</xdr:colOff>
      <xdr:row>94</xdr:row>
      <xdr:rowOff>0</xdr:rowOff>
    </xdr:to>
    <xdr:pic>
      <xdr:nvPicPr>
        <xdr:cNvPr id="3" name="Picture 2" descr="Screen Shot 2013-03-11 at 9.23.58 PM.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59120" y="17647920"/>
          <a:ext cx="5052439" cy="27838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20320</xdr:colOff>
      <xdr:row>1</xdr:row>
      <xdr:rowOff>5080</xdr:rowOff>
    </xdr:from>
    <xdr:to>
      <xdr:col>11</xdr:col>
      <xdr:colOff>118744</xdr:colOff>
      <xdr:row>21</xdr:row>
      <xdr:rowOff>152399</xdr:rowOff>
    </xdr:to>
    <xdr:pic>
      <xdr:nvPicPr>
        <xdr:cNvPr id="2" name="Picture 1"/>
        <xdr:cNvPicPr>
          <a:picLocks noChangeAspect="1"/>
        </xdr:cNvPicPr>
      </xdr:nvPicPr>
      <xdr:blipFill>
        <a:blip xmlns:r="http://schemas.openxmlformats.org/officeDocument/2006/relationships" r:embed="rId1"/>
        <a:stretch>
          <a:fillRect/>
        </a:stretch>
      </xdr:blipFill>
      <xdr:spPr>
        <a:xfrm>
          <a:off x="8412480" y="309880"/>
          <a:ext cx="6214744" cy="5206999"/>
        </a:xfrm>
        <a:prstGeom prst="rect">
          <a:avLst/>
        </a:prstGeom>
      </xdr:spPr>
    </xdr:pic>
    <xdr:clientData/>
  </xdr:twoCellAnchor>
  <xdr:twoCellAnchor editAs="oneCell">
    <xdr:from>
      <xdr:col>2</xdr:col>
      <xdr:colOff>853440</xdr:colOff>
      <xdr:row>22</xdr:row>
      <xdr:rowOff>111789</xdr:rowOff>
    </xdr:from>
    <xdr:to>
      <xdr:col>10</xdr:col>
      <xdr:colOff>576580</xdr:colOff>
      <xdr:row>39</xdr:row>
      <xdr:rowOff>162273</xdr:rowOff>
    </xdr:to>
    <xdr:pic>
      <xdr:nvPicPr>
        <xdr:cNvPr id="3" name="Picture 2"/>
        <xdr:cNvPicPr>
          <a:picLocks noChangeAspect="1"/>
        </xdr:cNvPicPr>
      </xdr:nvPicPr>
      <xdr:blipFill>
        <a:blip xmlns:r="http://schemas.openxmlformats.org/officeDocument/2006/relationships" r:embed="rId2"/>
        <a:stretch>
          <a:fillRect/>
        </a:stretch>
      </xdr:blipFill>
      <xdr:spPr>
        <a:xfrm>
          <a:off x="7498080" y="5659149"/>
          <a:ext cx="6713220" cy="32508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76200</xdr:colOff>
      <xdr:row>18</xdr:row>
      <xdr:rowOff>111760</xdr:rowOff>
    </xdr:from>
    <xdr:to>
      <xdr:col>15</xdr:col>
      <xdr:colOff>330940</xdr:colOff>
      <xdr:row>24</xdr:row>
      <xdr:rowOff>147314</xdr:rowOff>
    </xdr:to>
    <xdr:pic>
      <xdr:nvPicPr>
        <xdr:cNvPr id="2" name="Picture 1"/>
        <xdr:cNvPicPr>
          <a:picLocks noChangeAspect="1"/>
        </xdr:cNvPicPr>
      </xdr:nvPicPr>
      <xdr:blipFill>
        <a:blip xmlns:r="http://schemas.openxmlformats.org/officeDocument/2006/relationships" r:embed="rId1"/>
        <a:stretch>
          <a:fillRect/>
        </a:stretch>
      </xdr:blipFill>
      <xdr:spPr>
        <a:xfrm>
          <a:off x="11254740" y="3876040"/>
          <a:ext cx="5062960" cy="16205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xdr:row>
      <xdr:rowOff>182879</xdr:rowOff>
    </xdr:from>
    <xdr:to>
      <xdr:col>6</xdr:col>
      <xdr:colOff>1260904</xdr:colOff>
      <xdr:row>21</xdr:row>
      <xdr:rowOff>85724</xdr:rowOff>
    </xdr:to>
    <xdr:pic>
      <xdr:nvPicPr>
        <xdr:cNvPr id="3" name="Picture 2"/>
        <xdr:cNvPicPr>
          <a:picLocks noChangeAspect="1" noChangeArrowheads="1"/>
        </xdr:cNvPicPr>
      </xdr:nvPicPr>
      <xdr:blipFill>
        <a:blip xmlns:r="http://schemas.openxmlformats.org/officeDocument/2006/relationships" r:embed="rId1"/>
        <a:srcRect/>
        <a:stretch>
          <a:fillRect/>
        </a:stretch>
      </xdr:blipFill>
      <xdr:spPr bwMode="auto">
        <a:xfrm>
          <a:off x="0" y="1605279"/>
          <a:ext cx="4715304" cy="2392045"/>
        </a:xfrm>
        <a:prstGeom prst="rect">
          <a:avLst/>
        </a:prstGeom>
        <a:noFill/>
        <a:ln w="1">
          <a:noFill/>
          <a:miter lim="800000"/>
          <a:headEnd/>
          <a:tailEnd type="none" w="med" len="med"/>
        </a:ln>
        <a:effectLst/>
      </xdr:spPr>
    </xdr:pic>
    <xdr:clientData/>
  </xdr:twoCellAnchor>
  <xdr:twoCellAnchor editAs="oneCell">
    <xdr:from>
      <xdr:col>0</xdr:col>
      <xdr:colOff>0</xdr:colOff>
      <xdr:row>29</xdr:row>
      <xdr:rowOff>79725</xdr:rowOff>
    </xdr:from>
    <xdr:to>
      <xdr:col>5</xdr:col>
      <xdr:colOff>81280</xdr:colOff>
      <xdr:row>41</xdr:row>
      <xdr:rowOff>73064</xdr:rowOff>
    </xdr:to>
    <xdr:pic>
      <xdr:nvPicPr>
        <xdr:cNvPr id="4" name="Picture 3"/>
        <xdr:cNvPicPr>
          <a:picLocks noChangeAspect="1" noChangeArrowheads="1"/>
        </xdr:cNvPicPr>
      </xdr:nvPicPr>
      <xdr:blipFill>
        <a:blip xmlns:r="http://schemas.openxmlformats.org/officeDocument/2006/relationships" r:embed="rId2"/>
        <a:srcRect/>
        <a:stretch>
          <a:fillRect/>
        </a:stretch>
      </xdr:blipFill>
      <xdr:spPr bwMode="auto">
        <a:xfrm>
          <a:off x="0" y="5413725"/>
          <a:ext cx="3446780" cy="2126939"/>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510</xdr:colOff>
      <xdr:row>20</xdr:row>
      <xdr:rowOff>165160</xdr:rowOff>
    </xdr:from>
    <xdr:to>
      <xdr:col>6</xdr:col>
      <xdr:colOff>612775</xdr:colOff>
      <xdr:row>52</xdr:row>
      <xdr:rowOff>174625</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510" y="5556310"/>
          <a:ext cx="6946390" cy="6118165"/>
        </a:xfrm>
        <a:prstGeom prst="rect">
          <a:avLst/>
        </a:prstGeom>
      </xdr:spPr>
    </xdr:pic>
    <xdr:clientData/>
  </xdr:twoCellAnchor>
  <xdr:twoCellAnchor editAs="oneCell">
    <xdr:from>
      <xdr:col>0</xdr:col>
      <xdr:colOff>38100</xdr:colOff>
      <xdr:row>53</xdr:row>
      <xdr:rowOff>152400</xdr:rowOff>
    </xdr:from>
    <xdr:to>
      <xdr:col>7</xdr:col>
      <xdr:colOff>193675</xdr:colOff>
      <xdr:row>81</xdr:row>
      <xdr:rowOff>96593</xdr:rowOff>
    </xdr:to>
    <xdr:pic>
      <xdr:nvPicPr>
        <xdr:cNvPr id="3" name="Picture 2"/>
        <xdr:cNvPicPr>
          <a:picLocks noChangeAspect="1"/>
        </xdr:cNvPicPr>
      </xdr:nvPicPr>
      <xdr:blipFill>
        <a:blip xmlns:r="http://schemas.openxmlformats.org/officeDocument/2006/relationships" r:embed="rId2"/>
        <a:stretch>
          <a:fillRect/>
        </a:stretch>
      </xdr:blipFill>
      <xdr:spPr>
        <a:xfrm>
          <a:off x="863600" y="10312400"/>
          <a:ext cx="8928100" cy="49225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13</xdr:row>
      <xdr:rowOff>182879</xdr:rowOff>
    </xdr:from>
    <xdr:to>
      <xdr:col>7</xdr:col>
      <xdr:colOff>693420</xdr:colOff>
      <xdr:row>33</xdr:row>
      <xdr:rowOff>24020</xdr:rowOff>
    </xdr:to>
    <xdr:pic>
      <xdr:nvPicPr>
        <xdr:cNvPr id="2" name="Picture 1"/>
        <xdr:cNvPicPr>
          <a:picLocks noChangeAspect="1"/>
        </xdr:cNvPicPr>
      </xdr:nvPicPr>
      <xdr:blipFill>
        <a:blip xmlns:r="http://schemas.openxmlformats.org/officeDocument/2006/relationships" r:embed="rId1"/>
        <a:stretch>
          <a:fillRect/>
        </a:stretch>
      </xdr:blipFill>
      <xdr:spPr>
        <a:xfrm>
          <a:off x="683260" y="2377439"/>
          <a:ext cx="8338820" cy="34987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y\Documents\Microsoft%20User%20Data\Office%202011%20AutoRecovery\Household%20fuelwood%20us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sehold fuelwood use"/>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3"/>
  <sheetViews>
    <sheetView tabSelected="1" workbookViewId="0">
      <selection activeCell="F31" sqref="F31"/>
    </sheetView>
  </sheetViews>
  <sheetFormatPr defaultColWidth="10.85546875" defaultRowHeight="14.25"/>
  <cols>
    <col min="1" max="1" width="4.28515625" style="951" customWidth="1"/>
    <col min="2" max="2" width="10.85546875" style="951"/>
    <col min="3" max="3" width="17.140625" style="951" customWidth="1"/>
    <col min="4" max="16384" width="10.85546875" style="951"/>
  </cols>
  <sheetData>
    <row r="1" spans="1:15" ht="24.75">
      <c r="A1" s="1272" t="s">
        <v>1769</v>
      </c>
      <c r="B1" s="1508"/>
      <c r="C1" s="1508"/>
      <c r="D1" s="1508"/>
      <c r="E1" s="1508"/>
      <c r="F1" s="1288"/>
    </row>
    <row r="2" spans="1:15" ht="15" thickBot="1"/>
    <row r="3" spans="1:15" ht="14.1" customHeight="1">
      <c r="A3" s="951" t="s">
        <v>1783</v>
      </c>
      <c r="N3" s="1613" t="s">
        <v>1781</v>
      </c>
      <c r="O3" s="1614"/>
    </row>
    <row r="4" spans="1:15">
      <c r="A4" s="951" t="s">
        <v>1784</v>
      </c>
      <c r="N4" s="1615"/>
      <c r="O4" s="1616"/>
    </row>
    <row r="5" spans="1:15">
      <c r="A5" s="951" t="s">
        <v>1788</v>
      </c>
      <c r="N5" s="1615"/>
      <c r="O5" s="1616"/>
    </row>
    <row r="6" spans="1:15">
      <c r="A6" s="951" t="s">
        <v>1787</v>
      </c>
      <c r="N6" s="1615"/>
      <c r="O6" s="1616"/>
    </row>
    <row r="7" spans="1:15">
      <c r="N7" s="1615"/>
      <c r="O7" s="1616"/>
    </row>
    <row r="8" spans="1:15">
      <c r="B8" s="1509" t="s">
        <v>1770</v>
      </c>
      <c r="N8" s="1615"/>
      <c r="O8" s="1616"/>
    </row>
    <row r="9" spans="1:15">
      <c r="B9" s="1509" t="s">
        <v>1771</v>
      </c>
      <c r="N9" s="1615"/>
      <c r="O9" s="1616"/>
    </row>
    <row r="10" spans="1:15">
      <c r="B10" s="951" t="s">
        <v>1772</v>
      </c>
      <c r="N10" s="1615"/>
      <c r="O10" s="1616"/>
    </row>
    <row r="11" spans="1:15">
      <c r="B11" s="1509" t="s">
        <v>1773</v>
      </c>
      <c r="N11" s="1615"/>
      <c r="O11" s="1616"/>
    </row>
    <row r="12" spans="1:15">
      <c r="B12" s="1509" t="s">
        <v>1774</v>
      </c>
      <c r="N12" s="1615"/>
      <c r="O12" s="1616"/>
    </row>
    <row r="13" spans="1:15">
      <c r="N13" s="1615"/>
      <c r="O13" s="1616"/>
    </row>
    <row r="14" spans="1:15" ht="15" thickBot="1">
      <c r="A14" s="951" t="s">
        <v>1785</v>
      </c>
      <c r="N14" s="1617"/>
      <c r="O14" s="1618"/>
    </row>
    <row r="15" spans="1:15">
      <c r="A15" s="951" t="s">
        <v>1786</v>
      </c>
      <c r="N15" s="1512"/>
      <c r="O15" s="1512"/>
    </row>
    <row r="16" spans="1:15">
      <c r="N16" s="1512"/>
      <c r="O16" s="1512"/>
    </row>
    <row r="17" spans="1:15">
      <c r="B17" s="951" t="s">
        <v>1775</v>
      </c>
      <c r="D17" s="951" t="s">
        <v>1776</v>
      </c>
      <c r="F17" s="951" t="s">
        <v>1777</v>
      </c>
      <c r="H17" s="951" t="s">
        <v>1780</v>
      </c>
      <c r="N17" s="1512"/>
      <c r="O17" s="1512"/>
    </row>
    <row r="18" spans="1:15">
      <c r="B18" s="951" t="s">
        <v>1778</v>
      </c>
      <c r="D18" s="951" t="s">
        <v>1779</v>
      </c>
      <c r="F18" s="951" t="s">
        <v>1782</v>
      </c>
      <c r="K18" s="1511"/>
    </row>
    <row r="20" spans="1:15" ht="6.95" customHeight="1">
      <c r="A20" s="1288"/>
      <c r="B20" s="1288"/>
      <c r="C20" s="1288"/>
      <c r="D20" s="1288"/>
      <c r="E20" s="1288"/>
      <c r="F20" s="1288"/>
      <c r="G20" s="1288"/>
      <c r="H20" s="1288"/>
      <c r="I20" s="1288"/>
      <c r="J20" s="1288"/>
      <c r="K20" s="1288"/>
      <c r="L20" s="1288"/>
      <c r="M20" s="1288"/>
      <c r="N20" s="1288"/>
      <c r="O20" s="1288"/>
    </row>
    <row r="22" spans="1:15">
      <c r="A22" s="951" t="s">
        <v>1789</v>
      </c>
    </row>
    <row r="25" spans="1:15" ht="15">
      <c r="A25" s="1517" t="s">
        <v>1733</v>
      </c>
      <c r="B25" s="1508"/>
      <c r="C25" s="1508"/>
      <c r="D25" s="951" t="s">
        <v>1791</v>
      </c>
    </row>
    <row r="26" spans="1:15" ht="15">
      <c r="A26" s="1518" t="s">
        <v>748</v>
      </c>
      <c r="B26" s="1515"/>
      <c r="C26" s="1515"/>
      <c r="D26" s="1513" t="s">
        <v>1790</v>
      </c>
      <c r="E26" s="1513"/>
      <c r="F26" s="1513"/>
      <c r="G26" s="1513"/>
    </row>
    <row r="27" spans="1:15" ht="15">
      <c r="A27" s="1520" t="s">
        <v>1792</v>
      </c>
      <c r="B27" s="1516"/>
      <c r="C27" s="1516"/>
      <c r="D27" s="1513" t="s">
        <v>1799</v>
      </c>
      <c r="E27" s="1513"/>
      <c r="F27" s="1513"/>
      <c r="G27" s="1513"/>
    </row>
    <row r="28" spans="1:15" ht="15">
      <c r="A28" s="1522" t="s">
        <v>1793</v>
      </c>
      <c r="B28" s="1523"/>
      <c r="C28" s="1523"/>
      <c r="D28" s="1513" t="s">
        <v>1794</v>
      </c>
      <c r="E28" s="1513"/>
      <c r="F28" s="1513"/>
      <c r="G28" s="1513"/>
    </row>
    <row r="29" spans="1:15" ht="15">
      <c r="A29" s="1525" t="s">
        <v>1795</v>
      </c>
      <c r="B29" s="1524"/>
      <c r="C29" s="1524"/>
      <c r="D29" s="1513" t="s">
        <v>1796</v>
      </c>
      <c r="E29" s="1513"/>
      <c r="F29" s="1513"/>
      <c r="G29" s="1513"/>
    </row>
    <row r="30" spans="1:15" ht="15">
      <c r="A30" s="1519" t="s">
        <v>1797</v>
      </c>
      <c r="B30" s="1514"/>
      <c r="C30" s="1514"/>
      <c r="D30" s="1513" t="s">
        <v>1798</v>
      </c>
      <c r="E30" s="1513"/>
      <c r="F30" s="1513"/>
      <c r="G30" s="1513"/>
    </row>
    <row r="31" spans="1:15" ht="15">
      <c r="A31" s="1529" t="s">
        <v>1800</v>
      </c>
      <c r="B31" s="1526"/>
      <c r="C31" s="1526"/>
      <c r="D31" s="951" t="s">
        <v>1802</v>
      </c>
      <c r="E31" s="1513"/>
      <c r="F31" s="1513"/>
      <c r="G31" s="1534"/>
    </row>
    <row r="32" spans="1:15" ht="15">
      <c r="A32" s="1527" t="s">
        <v>1803</v>
      </c>
      <c r="B32" s="1528"/>
      <c r="C32" s="1528"/>
      <c r="D32" s="1513" t="s">
        <v>1804</v>
      </c>
      <c r="E32" s="1513"/>
      <c r="F32" s="1513"/>
      <c r="G32" s="1513"/>
    </row>
    <row r="33" spans="1:7" ht="15">
      <c r="A33" s="1527" t="s">
        <v>1805</v>
      </c>
      <c r="B33" s="1528"/>
      <c r="C33" s="1528"/>
      <c r="D33" s="1513" t="s">
        <v>1806</v>
      </c>
      <c r="E33" s="1513"/>
      <c r="F33" s="1513"/>
      <c r="G33" s="1513"/>
    </row>
    <row r="34" spans="1:7" ht="15">
      <c r="A34" s="1530" t="s">
        <v>1807</v>
      </c>
      <c r="B34" s="1531"/>
      <c r="C34" s="1531"/>
      <c r="D34" s="1513" t="s">
        <v>1808</v>
      </c>
      <c r="E34" s="1513"/>
      <c r="F34" s="1513"/>
      <c r="G34" s="1513"/>
    </row>
    <row r="35" spans="1:7" ht="15">
      <c r="A35" s="1532" t="s">
        <v>1812</v>
      </c>
      <c r="B35" s="1533"/>
      <c r="C35" s="1533"/>
      <c r="D35" s="1513" t="s">
        <v>1813</v>
      </c>
      <c r="E35" s="1513"/>
      <c r="F35" s="1513"/>
      <c r="G35" s="1513"/>
    </row>
    <row r="36" spans="1:7" ht="15">
      <c r="A36" s="1535" t="s">
        <v>1809</v>
      </c>
      <c r="B36" s="1536"/>
      <c r="C36" s="1536"/>
      <c r="D36" s="1513" t="s">
        <v>1814</v>
      </c>
      <c r="E36" s="1513"/>
      <c r="F36" s="1513"/>
      <c r="G36" s="1513"/>
    </row>
    <row r="37" spans="1:7" ht="15">
      <c r="A37" s="1535" t="s">
        <v>1810</v>
      </c>
      <c r="B37" s="1536"/>
      <c r="C37" s="1536"/>
      <c r="D37" s="1513" t="s">
        <v>1811</v>
      </c>
      <c r="E37" s="1513"/>
      <c r="F37" s="1513"/>
      <c r="G37" s="1513"/>
    </row>
    <row r="38" spans="1:7" ht="15">
      <c r="A38" s="1535" t="s">
        <v>1815</v>
      </c>
      <c r="B38" s="1536"/>
      <c r="C38" s="1536"/>
      <c r="D38" s="1513" t="s">
        <v>1819</v>
      </c>
      <c r="E38" s="1513"/>
      <c r="F38" s="1513"/>
      <c r="G38" s="1513"/>
    </row>
    <row r="39" spans="1:7" ht="15">
      <c r="A39" s="1535" t="s">
        <v>1820</v>
      </c>
      <c r="B39" s="1536"/>
      <c r="C39" s="1536"/>
      <c r="D39" s="1513" t="s">
        <v>1821</v>
      </c>
      <c r="E39" s="1513"/>
      <c r="F39" s="1513"/>
      <c r="G39" s="1513"/>
    </row>
    <row r="40" spans="1:7" ht="15">
      <c r="A40" s="1539" t="s">
        <v>1822</v>
      </c>
      <c r="B40" s="1540"/>
      <c r="C40" s="1540"/>
      <c r="D40" s="1513" t="s">
        <v>1823</v>
      </c>
      <c r="E40" s="1513"/>
      <c r="F40" s="1513"/>
      <c r="G40" s="1513"/>
    </row>
    <row r="41" spans="1:7" ht="15">
      <c r="A41" s="1537" t="s">
        <v>1824</v>
      </c>
      <c r="B41" s="1538"/>
      <c r="C41" s="1538"/>
      <c r="D41" s="1513" t="s">
        <v>1825</v>
      </c>
      <c r="E41" s="1513"/>
      <c r="F41" s="1513"/>
      <c r="G41" s="1513"/>
    </row>
    <row r="42" spans="1:7" ht="15">
      <c r="A42" s="1537" t="s">
        <v>1826</v>
      </c>
      <c r="B42" s="1538"/>
      <c r="C42" s="1538"/>
      <c r="D42" s="1513" t="s">
        <v>1827</v>
      </c>
      <c r="E42" s="1513"/>
      <c r="F42" s="1513"/>
      <c r="G42" s="1513"/>
    </row>
    <row r="43" spans="1:7" ht="15">
      <c r="A43" s="1542" t="s">
        <v>1828</v>
      </c>
      <c r="B43" s="1541"/>
      <c r="C43" s="1541"/>
      <c r="D43" s="1513" t="s">
        <v>1855</v>
      </c>
      <c r="E43" s="1513"/>
      <c r="F43" s="1513"/>
      <c r="G43" s="1513"/>
    </row>
    <row r="44" spans="1:7" ht="15">
      <c r="A44" s="1542" t="s">
        <v>1829</v>
      </c>
      <c r="B44" s="1541"/>
      <c r="C44" s="1541"/>
      <c r="D44" s="1513" t="s">
        <v>1854</v>
      </c>
      <c r="E44" s="1513"/>
      <c r="F44" s="1513"/>
      <c r="G44" s="1513"/>
    </row>
    <row r="45" spans="1:7" ht="15">
      <c r="A45" s="1542" t="s">
        <v>1830</v>
      </c>
      <c r="B45" s="1541"/>
      <c r="C45" s="1541"/>
      <c r="D45" s="1513" t="s">
        <v>1853</v>
      </c>
      <c r="E45" s="1513"/>
      <c r="F45" s="1513"/>
      <c r="G45" s="1513"/>
    </row>
    <row r="46" spans="1:7" ht="15">
      <c r="A46" s="1542" t="s">
        <v>1669</v>
      </c>
      <c r="B46" s="1541"/>
      <c r="C46" s="1541"/>
      <c r="D46" s="1513" t="s">
        <v>1852</v>
      </c>
      <c r="E46" s="1513"/>
      <c r="F46" s="1513"/>
      <c r="G46" s="1513"/>
    </row>
    <row r="47" spans="1:7" ht="15">
      <c r="A47" s="1522" t="s">
        <v>1831</v>
      </c>
      <c r="B47" s="1523"/>
      <c r="C47" s="1523"/>
      <c r="D47" s="1513" t="s">
        <v>1851</v>
      </c>
      <c r="E47" s="1513"/>
      <c r="F47" s="1513"/>
      <c r="G47" s="1513"/>
    </row>
    <row r="48" spans="1:7" ht="15">
      <c r="A48" s="1522" t="s">
        <v>1832</v>
      </c>
      <c r="B48" s="1523"/>
      <c r="C48" s="1523"/>
      <c r="D48" s="1513" t="s">
        <v>1850</v>
      </c>
      <c r="E48" s="1513"/>
      <c r="F48" s="1513"/>
      <c r="G48" s="1513"/>
    </row>
    <row r="49" spans="1:11" ht="15">
      <c r="A49" s="1522" t="s">
        <v>1833</v>
      </c>
      <c r="B49" s="1523"/>
      <c r="C49" s="1523"/>
      <c r="D49" s="1513" t="s">
        <v>1849</v>
      </c>
      <c r="E49" s="1513"/>
      <c r="F49" s="1513"/>
      <c r="G49" s="1513"/>
    </row>
    <row r="50" spans="1:11" ht="15">
      <c r="A50" s="1522" t="s">
        <v>1834</v>
      </c>
      <c r="B50" s="1523"/>
      <c r="C50" s="1523"/>
      <c r="D50" s="1513" t="s">
        <v>1848</v>
      </c>
      <c r="E50" s="1513"/>
      <c r="F50" s="1513"/>
      <c r="G50" s="1513"/>
    </row>
    <row r="51" spans="1:11" ht="15">
      <c r="A51" s="1545" t="s">
        <v>1835</v>
      </c>
      <c r="B51" s="1543"/>
      <c r="C51" s="1543"/>
      <c r="D51" s="1513" t="s">
        <v>1847</v>
      </c>
      <c r="E51" s="1513"/>
      <c r="F51" s="1513"/>
      <c r="G51" s="1513"/>
    </row>
    <row r="52" spans="1:11" ht="15">
      <c r="A52" s="1546" t="s">
        <v>1836</v>
      </c>
      <c r="B52" s="1547"/>
      <c r="C52" s="1547"/>
      <c r="D52" s="1513" t="s">
        <v>1846</v>
      </c>
      <c r="E52" s="1513"/>
      <c r="F52" s="1513"/>
      <c r="G52" s="1513"/>
    </row>
    <row r="53" spans="1:11" ht="15">
      <c r="A53" s="1548" t="s">
        <v>1837</v>
      </c>
      <c r="B53" s="1549"/>
      <c r="C53" s="1549"/>
      <c r="D53" s="1513" t="s">
        <v>1845</v>
      </c>
      <c r="E53" s="1513"/>
      <c r="F53" s="1513"/>
      <c r="G53" s="1513"/>
    </row>
    <row r="54" spans="1:11" ht="15">
      <c r="A54" s="1548" t="s">
        <v>1838</v>
      </c>
      <c r="B54" s="1549"/>
      <c r="C54" s="1549"/>
      <c r="D54" s="1619" t="s">
        <v>1844</v>
      </c>
      <c r="E54" s="1619"/>
      <c r="F54" s="1619"/>
      <c r="G54" s="1619"/>
      <c r="H54" s="1619"/>
      <c r="I54" s="1619"/>
      <c r="J54" s="1619"/>
      <c r="K54" s="1619"/>
    </row>
    <row r="55" spans="1:11" ht="15">
      <c r="A55" s="1548" t="s">
        <v>99</v>
      </c>
      <c r="B55" s="1549"/>
      <c r="C55" s="1549"/>
      <c r="D55" s="1619"/>
      <c r="E55" s="1619"/>
      <c r="F55" s="1619"/>
      <c r="G55" s="1619"/>
      <c r="H55" s="1619"/>
      <c r="I55" s="1619"/>
      <c r="J55" s="1619"/>
      <c r="K55" s="1619"/>
    </row>
    <row r="56" spans="1:11" ht="15">
      <c r="A56" s="1548" t="s">
        <v>1839</v>
      </c>
      <c r="B56" s="1549"/>
      <c r="C56" s="1549"/>
      <c r="D56" s="1619"/>
      <c r="E56" s="1619"/>
      <c r="F56" s="1619"/>
      <c r="G56" s="1619"/>
      <c r="H56" s="1619"/>
      <c r="I56" s="1619"/>
      <c r="J56" s="1619"/>
      <c r="K56" s="1619"/>
    </row>
    <row r="57" spans="1:11" ht="15">
      <c r="A57" s="1548" t="s">
        <v>1301</v>
      </c>
      <c r="B57" s="1549"/>
      <c r="C57" s="1549"/>
      <c r="D57" s="1619"/>
      <c r="E57" s="1619"/>
      <c r="F57" s="1619"/>
      <c r="G57" s="1619"/>
      <c r="H57" s="1619"/>
      <c r="I57" s="1619"/>
      <c r="J57" s="1619"/>
      <c r="K57" s="1619"/>
    </row>
    <row r="58" spans="1:11" ht="15">
      <c r="A58" s="1550" t="s">
        <v>1840</v>
      </c>
      <c r="B58" s="1551"/>
      <c r="C58" s="1551"/>
      <c r="D58" s="1513" t="s">
        <v>1843</v>
      </c>
      <c r="E58" s="1513"/>
      <c r="F58" s="1513"/>
      <c r="G58" s="1513"/>
    </row>
    <row r="59" spans="1:11" ht="15">
      <c r="A59" s="1550" t="s">
        <v>1664</v>
      </c>
      <c r="B59" s="1551"/>
      <c r="C59" s="1551"/>
      <c r="D59" s="1513" t="s">
        <v>1842</v>
      </c>
      <c r="E59" s="1513"/>
      <c r="F59" s="1513"/>
      <c r="G59" s="1513"/>
    </row>
    <row r="60" spans="1:11" ht="15">
      <c r="A60" s="1550" t="s">
        <v>1204</v>
      </c>
      <c r="B60" s="1551"/>
      <c r="C60" s="1551"/>
      <c r="D60" s="1513" t="s">
        <v>1841</v>
      </c>
      <c r="E60" s="1513"/>
      <c r="F60" s="1513"/>
      <c r="G60" s="1513"/>
      <c r="H60" s="1544"/>
    </row>
    <row r="61" spans="1:11" ht="15">
      <c r="A61" s="1521"/>
      <c r="B61" s="1513"/>
      <c r="C61" s="1513"/>
      <c r="D61" s="1513"/>
      <c r="E61" s="1513"/>
      <c r="F61" s="1513"/>
      <c r="G61" s="1513"/>
    </row>
    <row r="62" spans="1:11" ht="15">
      <c r="A62" s="1521"/>
      <c r="B62" s="1513"/>
      <c r="C62" s="1513"/>
      <c r="D62" s="1513"/>
      <c r="E62" s="1513"/>
      <c r="F62" s="1513"/>
      <c r="G62" s="1513"/>
    </row>
    <row r="63" spans="1:11" ht="15">
      <c r="A63" s="1521"/>
      <c r="B63" s="1513"/>
      <c r="C63" s="1513"/>
      <c r="D63" s="1513"/>
      <c r="E63" s="1513"/>
      <c r="F63" s="1513"/>
      <c r="G63" s="1513"/>
    </row>
    <row r="64" spans="1:11" ht="15">
      <c r="A64" s="1521"/>
      <c r="B64" s="1513"/>
      <c r="C64" s="1513"/>
      <c r="D64" s="1513"/>
      <c r="E64" s="1513"/>
      <c r="F64" s="1513"/>
      <c r="G64" s="1513"/>
    </row>
    <row r="65" spans="1:7" ht="15">
      <c r="A65" s="1521"/>
      <c r="B65" s="1513"/>
      <c r="C65" s="1513"/>
      <c r="D65" s="1513"/>
      <c r="E65" s="1513"/>
      <c r="F65" s="1513"/>
      <c r="G65" s="1513"/>
    </row>
    <row r="66" spans="1:7" ht="15">
      <c r="A66" s="1521"/>
      <c r="B66" s="1513"/>
      <c r="C66" s="1513"/>
      <c r="D66" s="1513"/>
      <c r="E66" s="1513"/>
      <c r="F66" s="1513"/>
      <c r="G66" s="1513"/>
    </row>
    <row r="67" spans="1:7" ht="15">
      <c r="A67" s="1521"/>
      <c r="B67" s="1513"/>
      <c r="C67" s="1513"/>
      <c r="D67" s="1513"/>
      <c r="E67" s="1513"/>
      <c r="F67" s="1513"/>
      <c r="G67" s="1513"/>
    </row>
    <row r="68" spans="1:7" ht="15">
      <c r="A68" s="1521"/>
      <c r="B68" s="1513"/>
      <c r="C68" s="1513"/>
      <c r="D68" s="1513"/>
      <c r="E68" s="1513"/>
      <c r="F68" s="1513"/>
      <c r="G68" s="1513"/>
    </row>
    <row r="69" spans="1:7" ht="15">
      <c r="A69" s="1521"/>
      <c r="B69" s="1513"/>
      <c r="C69" s="1513"/>
      <c r="D69" s="1513"/>
      <c r="E69" s="1513"/>
      <c r="F69" s="1513"/>
      <c r="G69" s="1513"/>
    </row>
    <row r="70" spans="1:7" ht="15">
      <c r="A70" s="1521"/>
      <c r="B70" s="1513"/>
      <c r="C70" s="1513"/>
      <c r="D70" s="1513"/>
      <c r="E70" s="1513"/>
      <c r="F70" s="1513"/>
      <c r="G70" s="1513"/>
    </row>
    <row r="71" spans="1:7" ht="15">
      <c r="A71" s="1521"/>
      <c r="B71" s="1513"/>
      <c r="C71" s="1513"/>
      <c r="D71" s="1513"/>
      <c r="E71" s="1513"/>
      <c r="F71" s="1513"/>
      <c r="G71" s="1513"/>
    </row>
    <row r="72" spans="1:7" ht="15">
      <c r="A72" s="1521"/>
      <c r="B72" s="1513"/>
      <c r="C72" s="1513"/>
      <c r="D72" s="1513"/>
      <c r="E72" s="1513"/>
      <c r="F72" s="1513"/>
      <c r="G72" s="1513"/>
    </row>
    <row r="73" spans="1:7" ht="15">
      <c r="A73" s="1521"/>
      <c r="B73" s="1513"/>
      <c r="C73" s="1513"/>
      <c r="D73" s="1513"/>
      <c r="E73" s="1513"/>
      <c r="F73" s="1513"/>
      <c r="G73" s="1513"/>
    </row>
    <row r="74" spans="1:7" ht="15">
      <c r="A74" s="1521"/>
      <c r="B74" s="1513"/>
      <c r="C74" s="1513"/>
      <c r="D74" s="1513"/>
      <c r="E74" s="1513"/>
      <c r="F74" s="1513"/>
      <c r="G74" s="1513"/>
    </row>
    <row r="75" spans="1:7">
      <c r="A75" s="1513"/>
      <c r="B75" s="1513"/>
      <c r="C75" s="1513"/>
      <c r="D75" s="1513"/>
      <c r="E75" s="1513"/>
      <c r="F75" s="1513"/>
      <c r="G75" s="1513"/>
    </row>
    <row r="76" spans="1:7">
      <c r="A76" s="1513"/>
      <c r="B76" s="1513"/>
      <c r="C76" s="1513"/>
      <c r="D76" s="1513"/>
      <c r="E76" s="1513"/>
      <c r="F76" s="1513"/>
      <c r="G76" s="1513"/>
    </row>
    <row r="77" spans="1:7">
      <c r="A77" s="1513"/>
      <c r="B77" s="1513"/>
      <c r="C77" s="1513"/>
      <c r="D77" s="1513"/>
      <c r="E77" s="1513"/>
      <c r="F77" s="1513"/>
      <c r="G77" s="1513"/>
    </row>
    <row r="78" spans="1:7">
      <c r="A78" s="1513"/>
      <c r="B78" s="1513"/>
      <c r="C78" s="1513"/>
      <c r="D78" s="1513"/>
      <c r="E78" s="1513"/>
      <c r="F78" s="1513"/>
      <c r="G78" s="1513"/>
    </row>
    <row r="79" spans="1:7">
      <c r="A79" s="1513"/>
      <c r="B79" s="1513"/>
      <c r="C79" s="1513"/>
      <c r="D79" s="1513"/>
      <c r="E79" s="1513"/>
      <c r="F79" s="1513"/>
      <c r="G79" s="1513"/>
    </row>
    <row r="80" spans="1:7">
      <c r="A80" s="1513"/>
      <c r="B80" s="1513"/>
      <c r="C80" s="1513"/>
      <c r="D80" s="1513"/>
      <c r="E80" s="1513"/>
      <c r="F80" s="1513"/>
      <c r="G80" s="1513"/>
    </row>
    <row r="81" spans="1:7">
      <c r="A81" s="1513"/>
      <c r="B81" s="1513"/>
      <c r="C81" s="1513"/>
      <c r="D81" s="1513"/>
      <c r="E81" s="1513"/>
      <c r="F81" s="1513"/>
      <c r="G81" s="1513"/>
    </row>
    <row r="82" spans="1:7">
      <c r="A82" s="1513"/>
      <c r="B82" s="1513"/>
      <c r="C82" s="1513"/>
      <c r="D82" s="1513"/>
      <c r="E82" s="1513"/>
      <c r="F82" s="1513"/>
      <c r="G82" s="1513"/>
    </row>
    <row r="83" spans="1:7">
      <c r="A83" s="1513"/>
      <c r="B83" s="1513"/>
      <c r="C83" s="1513"/>
      <c r="D83" s="1513"/>
      <c r="E83" s="1513"/>
      <c r="F83" s="1513"/>
      <c r="G83" s="1513"/>
    </row>
  </sheetData>
  <mergeCells count="2">
    <mergeCell ref="N3:O14"/>
    <mergeCell ref="D54:K57"/>
  </mergeCells>
  <pageMargins left="0.75" right="0.75" top="1" bottom="1" header="0.5" footer="0.5"/>
  <pageSetup paperSize="9" scale="79" fitToHeight="2" orientation="landscape" horizontalDpi="4294967292" verticalDpi="4294967292"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BCBD45"/>
  </sheetPr>
  <dimension ref="A1:I52"/>
  <sheetViews>
    <sheetView workbookViewId="0"/>
  </sheetViews>
  <sheetFormatPr defaultColWidth="11.42578125" defaultRowHeight="15"/>
  <cols>
    <col min="1" max="1" width="4" customWidth="1"/>
    <col min="2" max="2" width="9.42578125" customWidth="1"/>
    <col min="3" max="3" width="8.28515625" customWidth="1"/>
    <col min="4" max="4" width="9.7109375" customWidth="1"/>
    <col min="5" max="5" width="11.7109375" bestFit="1" customWidth="1"/>
    <col min="6" max="6" width="23.7109375" bestFit="1" customWidth="1"/>
    <col min="7" max="7" width="14" bestFit="1" customWidth="1"/>
    <col min="8" max="8" width="9.140625" customWidth="1"/>
    <col min="9" max="9" width="13.28515625" customWidth="1"/>
  </cols>
  <sheetData>
    <row r="1" spans="1:9" ht="24.75">
      <c r="A1" s="1278" t="s">
        <v>1931</v>
      </c>
      <c r="B1" s="1267"/>
      <c r="C1" s="1278"/>
      <c r="D1" s="1278"/>
      <c r="E1" s="1278"/>
      <c r="F1" s="1278"/>
      <c r="G1" s="1278"/>
      <c r="H1" s="1267"/>
      <c r="I1" s="335"/>
    </row>
    <row r="2" spans="1:9" ht="24.75">
      <c r="A2" s="1278" t="s">
        <v>880</v>
      </c>
      <c r="B2" s="1278"/>
      <c r="C2" s="1278"/>
      <c r="D2" s="1278"/>
      <c r="E2" s="1278"/>
      <c r="F2" s="1278"/>
      <c r="G2" s="1278"/>
      <c r="H2" s="1267"/>
      <c r="I2" s="335"/>
    </row>
    <row r="3" spans="1:9" ht="24.75">
      <c r="A3" s="1278" t="s">
        <v>1932</v>
      </c>
      <c r="B3" s="1278"/>
      <c r="C3" s="1278"/>
      <c r="D3" s="1278"/>
      <c r="E3" s="1278"/>
      <c r="F3" s="1278"/>
      <c r="G3" s="1278"/>
      <c r="H3" s="1267"/>
      <c r="I3" s="335"/>
    </row>
    <row r="4" spans="1:9" ht="15.75" thickBot="1"/>
    <row r="5" spans="1:9" ht="45.75" thickBot="1">
      <c r="A5" s="1200" t="s">
        <v>110</v>
      </c>
      <c r="B5" s="1201" t="s">
        <v>1569</v>
      </c>
      <c r="C5" s="1202" t="s">
        <v>1570</v>
      </c>
      <c r="D5" s="1202" t="s">
        <v>1571</v>
      </c>
      <c r="E5" s="1203" t="s">
        <v>1572</v>
      </c>
      <c r="F5" s="1204" t="s">
        <v>1573</v>
      </c>
      <c r="G5" s="1203" t="s">
        <v>1386</v>
      </c>
      <c r="H5" s="1205" t="s">
        <v>1574</v>
      </c>
    </row>
    <row r="6" spans="1:9">
      <c r="A6" s="1206"/>
      <c r="B6" s="1207"/>
      <c r="C6" s="1208"/>
      <c r="D6" s="1208"/>
      <c r="E6" s="1209"/>
      <c r="F6" s="1210" t="s">
        <v>1575</v>
      </c>
      <c r="G6" s="1209"/>
      <c r="H6" s="1211"/>
    </row>
    <row r="7" spans="1:9">
      <c r="A7" s="1212">
        <v>1</v>
      </c>
      <c r="B7" s="1212" t="s">
        <v>57</v>
      </c>
      <c r="C7" s="1212" t="s">
        <v>1090</v>
      </c>
      <c r="D7" s="1213">
        <f>E7/700</f>
        <v>6954.3164285714283</v>
      </c>
      <c r="E7" s="1214">
        <f>498879+568410+2210770+78130+13000+1498832.5</f>
        <v>4868021.5</v>
      </c>
      <c r="F7" s="1213" t="s">
        <v>1576</v>
      </c>
      <c r="G7" s="1213">
        <v>35</v>
      </c>
      <c r="H7" s="1215">
        <f>G7*300</f>
        <v>10500</v>
      </c>
    </row>
    <row r="8" spans="1:9">
      <c r="A8" s="1216"/>
      <c r="B8" s="1212"/>
      <c r="C8" s="1212" t="s">
        <v>1577</v>
      </c>
      <c r="D8" s="1213">
        <f>E8/1100</f>
        <v>17773.058181818182</v>
      </c>
      <c r="E8" s="1214">
        <f>5676813+165524+27600+201950+358729+13119748</f>
        <v>19550364</v>
      </c>
      <c r="F8" s="1213" t="s">
        <v>1578</v>
      </c>
      <c r="G8" s="1213">
        <v>34</v>
      </c>
      <c r="H8" s="1215">
        <f t="shared" ref="H8:H17" si="0">G8*300</f>
        <v>10200</v>
      </c>
    </row>
    <row r="9" spans="1:9">
      <c r="A9" s="1216">
        <v>2</v>
      </c>
      <c r="B9" s="1212" t="s">
        <v>58</v>
      </c>
      <c r="C9" s="1212" t="s">
        <v>1090</v>
      </c>
      <c r="D9" s="1213">
        <f>E9/700</f>
        <v>5689.3614285714284</v>
      </c>
      <c r="E9" s="1217">
        <f>498879+76200+1623560+19764+1764150</f>
        <v>3982553</v>
      </c>
      <c r="F9" s="1213" t="s">
        <v>1579</v>
      </c>
      <c r="G9" s="1213">
        <f>30*3</f>
        <v>90</v>
      </c>
      <c r="H9" s="1215">
        <f t="shared" si="0"/>
        <v>27000</v>
      </c>
    </row>
    <row r="10" spans="1:9">
      <c r="A10" s="1216"/>
      <c r="B10" s="1212"/>
      <c r="C10" s="1212" t="s">
        <v>1577</v>
      </c>
      <c r="D10" s="1213">
        <f>E10/1100</f>
        <v>21626.559272727271</v>
      </c>
      <c r="E10" s="1213">
        <f>5676813+132834+322600+574650+102637+16979681.2</f>
        <v>23789215.199999999</v>
      </c>
      <c r="F10" s="1213" t="s">
        <v>1580</v>
      </c>
      <c r="G10" s="1213">
        <v>35</v>
      </c>
      <c r="H10" s="1215">
        <f t="shared" si="0"/>
        <v>10500</v>
      </c>
    </row>
    <row r="11" spans="1:9">
      <c r="A11" s="1216">
        <v>3</v>
      </c>
      <c r="B11" s="1212" t="s">
        <v>59</v>
      </c>
      <c r="C11" s="1212" t="s">
        <v>1090</v>
      </c>
      <c r="D11" s="1213">
        <f>E11/700</f>
        <v>12239.59</v>
      </c>
      <c r="E11" s="1213">
        <f>4987879+661640+1278264+133430+21500+1485000</f>
        <v>8567713</v>
      </c>
      <c r="F11" s="1213" t="s">
        <v>1581</v>
      </c>
      <c r="G11" s="1213">
        <v>25</v>
      </c>
      <c r="H11" s="1215">
        <f t="shared" si="0"/>
        <v>7500</v>
      </c>
    </row>
    <row r="12" spans="1:9">
      <c r="A12" s="1216"/>
      <c r="B12" s="1212"/>
      <c r="C12" s="1212" t="s">
        <v>1577</v>
      </c>
      <c r="D12" s="1213">
        <f>E12/1100</f>
        <v>16205.998181818182</v>
      </c>
      <c r="E12" s="1213">
        <f>5676813+316072+141000+11692713</f>
        <v>17826598</v>
      </c>
      <c r="F12" s="1213" t="s">
        <v>1582</v>
      </c>
      <c r="G12" s="1213">
        <v>8</v>
      </c>
      <c r="H12" s="1215">
        <f t="shared" si="0"/>
        <v>2400</v>
      </c>
    </row>
    <row r="13" spans="1:9">
      <c r="A13" s="1216">
        <v>4</v>
      </c>
      <c r="B13" s="1212" t="s">
        <v>60</v>
      </c>
      <c r="C13" s="1212" t="s">
        <v>1090</v>
      </c>
      <c r="D13" s="1213">
        <f>E13/700</f>
        <v>4980.3999999999996</v>
      </c>
      <c r="E13" s="1213">
        <f>498879+328300+1768250+172520+25800+692531</f>
        <v>3486280</v>
      </c>
      <c r="F13" s="1213" t="s">
        <v>1583</v>
      </c>
      <c r="G13" s="1213">
        <v>2</v>
      </c>
      <c r="H13" s="1215">
        <f t="shared" si="0"/>
        <v>600</v>
      </c>
    </row>
    <row r="14" spans="1:9">
      <c r="A14" s="1216"/>
      <c r="B14" s="1212"/>
      <c r="C14" s="1212" t="s">
        <v>1577</v>
      </c>
      <c r="D14" s="1213">
        <f>E14/1100</f>
        <v>8231.0664545454547</v>
      </c>
      <c r="E14" s="1213">
        <f>5676813+25100+17950+166000+3168310.1</f>
        <v>9054173.0999999996</v>
      </c>
      <c r="F14" s="1213" t="s">
        <v>1584</v>
      </c>
      <c r="G14" s="1213">
        <v>6</v>
      </c>
      <c r="H14" s="1215">
        <f t="shared" si="0"/>
        <v>1800</v>
      </c>
    </row>
    <row r="15" spans="1:9">
      <c r="A15" s="1216">
        <v>5</v>
      </c>
      <c r="B15" s="1212" t="s">
        <v>61</v>
      </c>
      <c r="C15" s="1212" t="s">
        <v>1090</v>
      </c>
      <c r="D15" s="1213">
        <f>E15/700</f>
        <v>7471.398714285714</v>
      </c>
      <c r="E15" s="1213">
        <f>498879+610050+2443390+75895+9100+1592665.1</f>
        <v>5229979.0999999996</v>
      </c>
      <c r="F15" s="1213" t="s">
        <v>1585</v>
      </c>
      <c r="G15" s="1213">
        <v>46</v>
      </c>
      <c r="H15" s="1215">
        <f t="shared" si="0"/>
        <v>13800</v>
      </c>
    </row>
    <row r="16" spans="1:9">
      <c r="A16" s="1216"/>
      <c r="B16" s="1212"/>
      <c r="C16" s="1212" t="s">
        <v>1577</v>
      </c>
      <c r="D16" s="1213">
        <f>E16/1100</f>
        <v>11170.40389090909</v>
      </c>
      <c r="E16" s="1213">
        <f>5676814+411269+18300+9870.18+6171191.1</f>
        <v>12287444.279999999</v>
      </c>
      <c r="F16" s="1213" t="s">
        <v>1586</v>
      </c>
      <c r="G16" s="1213">
        <v>16</v>
      </c>
      <c r="H16" s="1215">
        <f t="shared" si="0"/>
        <v>4800</v>
      </c>
    </row>
    <row r="17" spans="1:8">
      <c r="A17" s="1216">
        <v>6</v>
      </c>
      <c r="B17" s="1212" t="s">
        <v>62</v>
      </c>
      <c r="C17" s="1212" t="s">
        <v>1090</v>
      </c>
      <c r="D17" s="1213">
        <f>E17/700</f>
        <v>2871.2557142857145</v>
      </c>
      <c r="E17" s="1213">
        <f>498879+63120+810380+2000+97000+538500</f>
        <v>2009879</v>
      </c>
      <c r="F17" s="1213" t="s">
        <v>1587</v>
      </c>
      <c r="G17" s="1213">
        <v>4</v>
      </c>
      <c r="H17" s="1215">
        <f t="shared" si="0"/>
        <v>1200</v>
      </c>
    </row>
    <row r="18" spans="1:8">
      <c r="A18" s="1216"/>
      <c r="B18" s="1212"/>
      <c r="C18" s="1212" t="s">
        <v>1577</v>
      </c>
      <c r="D18" s="1213">
        <f>E18/1100</f>
        <v>6465.0045454545452</v>
      </c>
      <c r="E18" s="1213">
        <f>5676814+184000+1250691</f>
        <v>7111505</v>
      </c>
      <c r="F18" s="1218" t="s">
        <v>1588</v>
      </c>
      <c r="G18" s="1213"/>
      <c r="H18" s="1215"/>
    </row>
    <row r="19" spans="1:8">
      <c r="A19" s="1216">
        <v>7</v>
      </c>
      <c r="B19" s="1212" t="s">
        <v>63</v>
      </c>
      <c r="C19" s="1212" t="s">
        <v>1090</v>
      </c>
      <c r="D19" s="1213">
        <f>E19/1100</f>
        <v>1618.0954545454545</v>
      </c>
      <c r="E19" s="1219">
        <f>866615+175790+148900+588600</f>
        <v>1779905</v>
      </c>
      <c r="F19" s="1213" t="s">
        <v>1589</v>
      </c>
      <c r="G19" s="1213">
        <v>27</v>
      </c>
      <c r="H19" s="1215">
        <f>G19*300</f>
        <v>8100</v>
      </c>
    </row>
    <row r="20" spans="1:8">
      <c r="A20" s="1216"/>
      <c r="B20" s="1212"/>
      <c r="C20" s="1212" t="s">
        <v>1577</v>
      </c>
      <c r="D20" s="1213">
        <f>E20/1100</f>
        <v>6801.9736363636366</v>
      </c>
      <c r="E20" s="1213">
        <f>230000+2400+4000+7245771</f>
        <v>7482171</v>
      </c>
      <c r="F20" s="1213" t="s">
        <v>1590</v>
      </c>
      <c r="G20" s="1213">
        <v>12</v>
      </c>
      <c r="H20" s="1215">
        <f t="shared" ref="H20:H29" si="1">G20*300</f>
        <v>3600</v>
      </c>
    </row>
    <row r="21" spans="1:8">
      <c r="A21" s="1216">
        <v>8</v>
      </c>
      <c r="B21" s="1212" t="s">
        <v>64</v>
      </c>
      <c r="C21" s="1212" t="s">
        <v>1090</v>
      </c>
      <c r="D21" s="1213">
        <f>E21/700</f>
        <v>5247.7857142857147</v>
      </c>
      <c r="E21" s="1213">
        <f>152270+1460280+61400+1999500</f>
        <v>3673450</v>
      </c>
      <c r="F21" s="1213" t="s">
        <v>1591</v>
      </c>
      <c r="G21" s="1213">
        <v>23</v>
      </c>
      <c r="H21" s="1215">
        <f t="shared" si="1"/>
        <v>6900</v>
      </c>
    </row>
    <row r="22" spans="1:8">
      <c r="A22" s="1216"/>
      <c r="B22" s="1212"/>
      <c r="C22" s="1212" t="s">
        <v>1577</v>
      </c>
      <c r="D22" s="1213">
        <f>E22/1100</f>
        <v>14930.714545454546</v>
      </c>
      <c r="E22" s="1213">
        <f>16423786</f>
        <v>16423786</v>
      </c>
      <c r="F22" s="1213" t="s">
        <v>1592</v>
      </c>
      <c r="G22" s="1213">
        <v>16</v>
      </c>
      <c r="H22" s="1215">
        <f t="shared" si="1"/>
        <v>4800</v>
      </c>
    </row>
    <row r="23" spans="1:8">
      <c r="A23" s="1216">
        <v>9</v>
      </c>
      <c r="B23" s="1212" t="s">
        <v>65</v>
      </c>
      <c r="C23" s="1212" t="s">
        <v>1090</v>
      </c>
      <c r="D23" s="1213">
        <f>E23/700</f>
        <v>7093.3</v>
      </c>
      <c r="E23" s="1213">
        <f>153640+1581620+302050+2928000</f>
        <v>4965310</v>
      </c>
      <c r="F23" s="1213" t="s">
        <v>1593</v>
      </c>
      <c r="G23" s="1213">
        <v>18</v>
      </c>
      <c r="H23" s="1215">
        <f t="shared" si="1"/>
        <v>5400</v>
      </c>
    </row>
    <row r="24" spans="1:8">
      <c r="A24" s="1216"/>
      <c r="B24" s="1212"/>
      <c r="C24" s="1212" t="s">
        <v>1577</v>
      </c>
      <c r="D24" s="1213">
        <f>E24/1100</f>
        <v>6654.550909090909</v>
      </c>
      <c r="E24" s="1213">
        <f>16306+359000+8100+6936600</f>
        <v>7320006</v>
      </c>
      <c r="F24" s="1213" t="s">
        <v>1594</v>
      </c>
      <c r="G24" s="1213">
        <v>14</v>
      </c>
      <c r="H24" s="1215">
        <f t="shared" si="1"/>
        <v>4200</v>
      </c>
    </row>
    <row r="25" spans="1:8">
      <c r="A25" s="1216">
        <v>10</v>
      </c>
      <c r="B25" s="1212" t="s">
        <v>66</v>
      </c>
      <c r="C25" s="1212" t="s">
        <v>1090</v>
      </c>
      <c r="D25" s="1213">
        <f>E25/700</f>
        <v>4184.4285714285716</v>
      </c>
      <c r="E25" s="1213">
        <f>1016150+1878400+34550</f>
        <v>2929100</v>
      </c>
      <c r="F25" s="1213" t="s">
        <v>1595</v>
      </c>
      <c r="G25" s="1213">
        <v>14</v>
      </c>
      <c r="H25" s="1215">
        <f t="shared" si="1"/>
        <v>4200</v>
      </c>
    </row>
    <row r="26" spans="1:8">
      <c r="A26" s="1216"/>
      <c r="B26" s="1212"/>
      <c r="C26" s="1212" t="s">
        <v>1577</v>
      </c>
      <c r="D26" s="1213">
        <f>E26/1100</f>
        <v>16984.065454545456</v>
      </c>
      <c r="E26" s="1213">
        <f>263000+38420+18381052</f>
        <v>18682472</v>
      </c>
      <c r="F26" s="1213" t="s">
        <v>1596</v>
      </c>
      <c r="G26" s="1213">
        <v>14</v>
      </c>
      <c r="H26" s="1215">
        <f t="shared" si="1"/>
        <v>4200</v>
      </c>
    </row>
    <row r="27" spans="1:8">
      <c r="A27" s="1216">
        <v>11</v>
      </c>
      <c r="B27" s="1212" t="s">
        <v>67</v>
      </c>
      <c r="C27" s="1212" t="s">
        <v>1090</v>
      </c>
      <c r="D27" s="1213">
        <f>E27/700</f>
        <v>4938.6342857142854</v>
      </c>
      <c r="E27" s="1213">
        <f>845420+110410+2501214</f>
        <v>3457044</v>
      </c>
      <c r="F27" s="1213" t="s">
        <v>1597</v>
      </c>
      <c r="G27" s="1213">
        <v>50</v>
      </c>
      <c r="H27" s="1215">
        <f t="shared" si="1"/>
        <v>15000</v>
      </c>
    </row>
    <row r="28" spans="1:8">
      <c r="A28" s="1216"/>
      <c r="B28" s="1212"/>
      <c r="C28" s="1212" t="s">
        <v>1577</v>
      </c>
      <c r="D28" s="1213">
        <f>E28/1100</f>
        <v>20917.472727272729</v>
      </c>
      <c r="E28" s="1213">
        <f>400000+22585530+23690</f>
        <v>23009220</v>
      </c>
      <c r="F28" s="1213" t="s">
        <v>1598</v>
      </c>
      <c r="G28" s="1213">
        <v>12.2</v>
      </c>
      <c r="H28" s="1215">
        <f t="shared" si="1"/>
        <v>3660</v>
      </c>
    </row>
    <row r="29" spans="1:8">
      <c r="A29" s="1216">
        <v>12</v>
      </c>
      <c r="B29" s="1212" t="s">
        <v>68</v>
      </c>
      <c r="C29" s="1212" t="s">
        <v>1090</v>
      </c>
      <c r="D29" s="1213">
        <f>E29/700</f>
        <v>1953.51</v>
      </c>
      <c r="E29" s="1213">
        <f>108026+541031+58400+660000</f>
        <v>1367457</v>
      </c>
      <c r="F29" s="1213" t="s">
        <v>1599</v>
      </c>
      <c r="G29" s="1213">
        <v>62</v>
      </c>
      <c r="H29" s="1215">
        <f t="shared" si="1"/>
        <v>18600</v>
      </c>
    </row>
    <row r="30" spans="1:8" ht="15.75" thickBot="1">
      <c r="A30" s="1220"/>
      <c r="B30" s="1221"/>
      <c r="C30" s="1221" t="s">
        <v>1577</v>
      </c>
      <c r="D30" s="1222">
        <f>E30/1100</f>
        <v>18548.944545454546</v>
      </c>
      <c r="E30" s="1222">
        <f>11900+14000+20377939</f>
        <v>20403839</v>
      </c>
      <c r="F30" s="1222"/>
      <c r="G30" s="1222"/>
      <c r="H30" s="1223">
        <f>SUM(H7:H29)</f>
        <v>168960</v>
      </c>
    </row>
    <row r="31" spans="1:8">
      <c r="D31" s="1231">
        <f>SUM(D7:D30)</f>
        <v>231551.88865714282</v>
      </c>
      <c r="E31" s="1224">
        <f>SUM(E9:E30)</f>
        <v>204839099.68000001</v>
      </c>
    </row>
    <row r="33" spans="3:9">
      <c r="C33" t="s">
        <v>1090</v>
      </c>
      <c r="D33" s="421">
        <f>D7+D9+D11+D13+D15+D17+D19+D21+D23+D25+D27+D29</f>
        <v>65242.076311688317</v>
      </c>
      <c r="E33" s="421">
        <f>E7+E9+E11+E13+E15+E17+E19+E21+E23+E25+E27+E29</f>
        <v>46316691.600000001</v>
      </c>
      <c r="F33" s="1224" t="s">
        <v>1600</v>
      </c>
      <c r="G33" s="1224" t="s">
        <v>1601</v>
      </c>
    </row>
    <row r="34" spans="3:9">
      <c r="C34" t="s">
        <v>1577</v>
      </c>
      <c r="D34" s="423">
        <f>D8+D10+D12+D14+D16+D18+D20+D22+D24+D26+D28+D30</f>
        <v>166309.81234545456</v>
      </c>
      <c r="E34" s="423">
        <f>E8+E10+E12+E14+E16+E18+E20+E22+E24+E26+E28+E30</f>
        <v>182940793.57999998</v>
      </c>
      <c r="F34" s="1225" t="s">
        <v>1602</v>
      </c>
      <c r="G34" s="1225">
        <v>2000</v>
      </c>
    </row>
    <row r="35" spans="3:9">
      <c r="C35" s="393"/>
      <c r="D35" s="423">
        <f>D33+D34</f>
        <v>231551.88865714287</v>
      </c>
      <c r="F35" s="1225" t="s">
        <v>1603</v>
      </c>
      <c r="G35" s="1225">
        <v>3000</v>
      </c>
    </row>
    <row r="36" spans="3:9">
      <c r="F36" s="1226" t="s">
        <v>1604</v>
      </c>
      <c r="G36" s="1226">
        <v>5000</v>
      </c>
    </row>
    <row r="37" spans="3:9">
      <c r="F37" s="1226" t="s">
        <v>1605</v>
      </c>
      <c r="G37" s="1226">
        <v>12000</v>
      </c>
    </row>
    <row r="38" spans="3:9">
      <c r="F38" s="1226" t="s">
        <v>1606</v>
      </c>
      <c r="G38" s="1226">
        <v>300000</v>
      </c>
    </row>
    <row r="39" spans="3:9" ht="30">
      <c r="F39" s="1227" t="s">
        <v>1607</v>
      </c>
      <c r="G39" s="1228">
        <v>400000</v>
      </c>
    </row>
    <row r="40" spans="3:9">
      <c r="F40" s="1226" t="s">
        <v>1608</v>
      </c>
      <c r="G40" s="1226">
        <v>70000</v>
      </c>
      <c r="H40" s="1224">
        <f>SUM(G34:G40)</f>
        <v>792000</v>
      </c>
    </row>
    <row r="42" spans="3:9">
      <c r="F42" s="1229" t="s">
        <v>1609</v>
      </c>
      <c r="I42" s="1224">
        <f>H40+H30</f>
        <v>960960</v>
      </c>
    </row>
    <row r="44" spans="3:9">
      <c r="F44" s="1670" t="s">
        <v>1610</v>
      </c>
      <c r="G44" s="1670"/>
      <c r="H44" s="1670"/>
      <c r="I44" s="1230">
        <f>I42*475</f>
        <v>456456000</v>
      </c>
    </row>
    <row r="45" spans="3:9">
      <c r="E45" t="s">
        <v>1051</v>
      </c>
      <c r="I45" s="1224"/>
    </row>
    <row r="46" spans="3:9">
      <c r="E46" t="s">
        <v>1611</v>
      </c>
    </row>
    <row r="47" spans="3:9">
      <c r="E47" t="s">
        <v>1612</v>
      </c>
      <c r="G47" s="421" t="s">
        <v>1613</v>
      </c>
      <c r="H47" s="421"/>
    </row>
    <row r="48" spans="3:9">
      <c r="E48" t="s">
        <v>1614</v>
      </c>
      <c r="G48" s="421" t="s">
        <v>1615</v>
      </c>
      <c r="H48" s="421"/>
    </row>
    <row r="49" spans="5:5">
      <c r="E49" t="s">
        <v>1616</v>
      </c>
    </row>
    <row r="51" spans="5:5">
      <c r="E51" t="s">
        <v>1617</v>
      </c>
    </row>
    <row r="52" spans="5:5">
      <c r="E52" t="s">
        <v>1618</v>
      </c>
    </row>
  </sheetData>
  <mergeCells count="1">
    <mergeCell ref="F44:H4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15E5C7"/>
  </sheetPr>
  <dimension ref="A1:H67"/>
  <sheetViews>
    <sheetView workbookViewId="0"/>
  </sheetViews>
  <sheetFormatPr defaultColWidth="8.85546875" defaultRowHeight="15"/>
  <cols>
    <col min="1" max="1" width="30.28515625" customWidth="1"/>
    <col min="2" max="2" width="15.28515625" bestFit="1" customWidth="1"/>
    <col min="3" max="3" width="18" bestFit="1" customWidth="1"/>
    <col min="4" max="4" width="17.42578125" customWidth="1"/>
    <col min="5" max="5" width="17.140625" customWidth="1"/>
    <col min="6" max="6" width="16.7109375" customWidth="1"/>
    <col min="7" max="7" width="34.42578125" customWidth="1"/>
    <col min="8" max="8" width="15.7109375" bestFit="1" customWidth="1"/>
    <col min="9" max="9" width="12.28515625" bestFit="1" customWidth="1"/>
    <col min="10" max="10" width="15.28515625" customWidth="1"/>
    <col min="11" max="11" width="25.42578125" customWidth="1"/>
    <col min="12" max="12" width="24" customWidth="1"/>
    <col min="13" max="13" width="18" bestFit="1" customWidth="1"/>
  </cols>
  <sheetData>
    <row r="1" spans="1:8" ht="24.75">
      <c r="A1" s="1262" t="s">
        <v>1138</v>
      </c>
      <c r="B1" s="1266"/>
    </row>
    <row r="2" spans="1:8" ht="21">
      <c r="A2" s="520"/>
    </row>
    <row r="3" spans="1:8" ht="21.75" thickBot="1">
      <c r="A3" s="520"/>
    </row>
    <row r="4" spans="1:8" ht="33" customHeight="1" thickBot="1">
      <c r="A4" s="277" t="s">
        <v>1164</v>
      </c>
      <c r="B4" s="531"/>
      <c r="C4" s="130"/>
      <c r="D4" s="130"/>
      <c r="E4" s="130"/>
      <c r="F4" s="130"/>
      <c r="G4" s="130"/>
    </row>
    <row r="5" spans="1:8">
      <c r="A5" s="528" t="s">
        <v>1163</v>
      </c>
      <c r="B5" s="529">
        <f>+D23</f>
        <v>24083356990.840317</v>
      </c>
      <c r="C5" s="130"/>
      <c r="D5" s="130"/>
      <c r="E5" s="130"/>
      <c r="F5" s="130"/>
      <c r="G5" s="130"/>
    </row>
    <row r="6" spans="1:8">
      <c r="A6" s="528" t="s">
        <v>1165</v>
      </c>
      <c r="B6" s="529">
        <f>+E23</f>
        <v>11276543712.099514</v>
      </c>
      <c r="C6" s="130"/>
      <c r="D6" s="130"/>
      <c r="E6" s="130"/>
      <c r="F6" s="130"/>
      <c r="G6" s="130"/>
    </row>
    <row r="7" spans="1:8" ht="15.75" thickBot="1">
      <c r="A7" s="263" t="s">
        <v>1159</v>
      </c>
      <c r="B7" s="530">
        <f>+F23</f>
        <v>12806813278.740795</v>
      </c>
      <c r="C7" s="130"/>
      <c r="D7" s="130"/>
      <c r="E7" s="130"/>
      <c r="F7" s="130"/>
      <c r="G7" s="130"/>
    </row>
    <row r="8" spans="1:8">
      <c r="A8" s="130"/>
      <c r="B8" s="130"/>
      <c r="C8" s="130"/>
      <c r="D8" s="130"/>
      <c r="E8" s="130"/>
      <c r="F8" s="130"/>
      <c r="G8" s="130"/>
    </row>
    <row r="9" spans="1:8" ht="15.75" thickBot="1">
      <c r="A9" s="130"/>
      <c r="B9" s="130"/>
      <c r="C9" s="130"/>
      <c r="D9" s="130"/>
      <c r="E9" s="130"/>
      <c r="F9" s="130"/>
      <c r="G9" s="130"/>
    </row>
    <row r="10" spans="1:8" ht="15.75" thickBot="1">
      <c r="A10" s="277" t="s">
        <v>1194</v>
      </c>
      <c r="B10" s="547"/>
      <c r="C10" s="547"/>
      <c r="D10" s="252"/>
      <c r="E10" s="547"/>
      <c r="F10" s="531"/>
      <c r="G10" s="1243"/>
    </row>
    <row r="11" spans="1:8" ht="45.75" thickBot="1">
      <c r="A11" s="278" t="s">
        <v>1282</v>
      </c>
      <c r="B11" s="1251" t="s">
        <v>1166</v>
      </c>
      <c r="C11" s="1245" t="s">
        <v>1167</v>
      </c>
      <c r="D11" s="1252" t="s">
        <v>1160</v>
      </c>
      <c r="E11" s="1252" t="s">
        <v>1161</v>
      </c>
      <c r="F11" s="1253" t="s">
        <v>1162</v>
      </c>
      <c r="G11" s="1232"/>
    </row>
    <row r="12" spans="1:8">
      <c r="A12" s="541" t="s">
        <v>1168</v>
      </c>
      <c r="B12" s="1246">
        <v>11</v>
      </c>
      <c r="C12" s="1247" t="s">
        <v>1177</v>
      </c>
      <c r="D12" s="1248">
        <f t="shared" ref="D12:E12" si="0">+C34</f>
        <v>5845592.1875</v>
      </c>
      <c r="E12" s="1248">
        <f t="shared" si="0"/>
        <v>0</v>
      </c>
      <c r="F12" s="1248">
        <f>+E34</f>
        <v>5845592.1875</v>
      </c>
      <c r="G12" s="1244"/>
    </row>
    <row r="13" spans="1:8">
      <c r="A13" s="541" t="s">
        <v>1169</v>
      </c>
      <c r="B13" s="1249">
        <v>12</v>
      </c>
      <c r="C13" s="545" t="s">
        <v>972</v>
      </c>
      <c r="D13" s="529">
        <f t="shared" ref="D13:E13" si="1">+C37</f>
        <v>134271898.13232419</v>
      </c>
      <c r="E13" s="529">
        <f t="shared" si="1"/>
        <v>37222748.17108155</v>
      </c>
      <c r="F13" s="529">
        <f>+E37</f>
        <v>97049149.961242661</v>
      </c>
      <c r="G13" s="1244"/>
      <c r="H13" s="249"/>
    </row>
    <row r="14" spans="1:8">
      <c r="A14" s="541" t="s">
        <v>1170</v>
      </c>
      <c r="B14" s="1249">
        <v>29</v>
      </c>
      <c r="C14" s="546" t="s">
        <v>1178</v>
      </c>
      <c r="D14" s="529">
        <f t="shared" ref="D14:E14" si="2">+C40</f>
        <v>189084472.48535156</v>
      </c>
      <c r="E14" s="529">
        <f t="shared" si="2"/>
        <v>0</v>
      </c>
      <c r="F14" s="529">
        <f>+E40</f>
        <v>189084472.48535156</v>
      </c>
      <c r="G14" s="1244"/>
      <c r="H14" s="249"/>
    </row>
    <row r="15" spans="1:8" ht="30">
      <c r="A15" s="549" t="s">
        <v>1191</v>
      </c>
      <c r="B15" s="1249">
        <v>31</v>
      </c>
      <c r="C15" s="546" t="s">
        <v>1179</v>
      </c>
      <c r="D15" s="529">
        <f t="shared" ref="D15:E15" si="3">+C43</f>
        <v>988987.75177001941</v>
      </c>
      <c r="E15" s="529">
        <f t="shared" si="3"/>
        <v>157834.87632751465</v>
      </c>
      <c r="F15" s="529">
        <f>+E43</f>
        <v>831152.87544250488</v>
      </c>
      <c r="G15" s="1244"/>
      <c r="H15" s="249"/>
    </row>
    <row r="16" spans="1:8" ht="45">
      <c r="A16" s="541" t="s">
        <v>1171</v>
      </c>
      <c r="B16" s="1249">
        <v>32</v>
      </c>
      <c r="C16" s="544" t="s">
        <v>1182</v>
      </c>
      <c r="D16" s="529">
        <f t="shared" ref="D16:E16" si="4">+C46</f>
        <v>675116447.47924805</v>
      </c>
      <c r="E16" s="529">
        <f t="shared" si="4"/>
        <v>2039426210.8917236</v>
      </c>
      <c r="F16" s="529">
        <f>+E46</f>
        <v>-1364309763.4124756</v>
      </c>
      <c r="G16" s="1244"/>
      <c r="H16" s="249"/>
    </row>
    <row r="17" spans="1:8" ht="30">
      <c r="A17" s="549" t="s">
        <v>1281</v>
      </c>
      <c r="B17" s="1249">
        <v>33</v>
      </c>
      <c r="C17" s="545" t="s">
        <v>1189</v>
      </c>
      <c r="D17" s="529">
        <f t="shared" ref="D17:E17" si="5">+C49</f>
        <v>5594290023.7882252</v>
      </c>
      <c r="E17" s="529">
        <f t="shared" si="5"/>
        <v>2783292635.6323428</v>
      </c>
      <c r="F17" s="529">
        <f>+E49</f>
        <v>2810997388.15588</v>
      </c>
      <c r="G17" s="1244"/>
      <c r="H17" s="249"/>
    </row>
    <row r="18" spans="1:8">
      <c r="A18" s="541" t="s">
        <v>1172</v>
      </c>
      <c r="B18" s="1249">
        <v>36</v>
      </c>
      <c r="C18" s="545" t="s">
        <v>1183</v>
      </c>
      <c r="D18" s="529">
        <f t="shared" ref="D18:E18" si="6">+C52</f>
        <v>49878275.894165039</v>
      </c>
      <c r="E18" s="529">
        <f t="shared" si="6"/>
        <v>10919644.912719725</v>
      </c>
      <c r="F18" s="529">
        <f>+E52</f>
        <v>38958630.98144532</v>
      </c>
      <c r="G18" s="1244"/>
      <c r="H18" s="249"/>
    </row>
    <row r="19" spans="1:8">
      <c r="A19" s="280" t="s">
        <v>1284</v>
      </c>
      <c r="B19" s="1249">
        <v>38</v>
      </c>
      <c r="C19" s="544" t="s">
        <v>1283</v>
      </c>
      <c r="D19" s="529">
        <f t="shared" ref="D19:E19" si="7">+C55</f>
        <v>13418453.979492189</v>
      </c>
      <c r="E19" s="529">
        <f t="shared" si="7"/>
        <v>0</v>
      </c>
      <c r="F19" s="529">
        <f>+E55</f>
        <v>13418453.979492189</v>
      </c>
      <c r="G19" s="1244"/>
      <c r="H19" s="249"/>
    </row>
    <row r="20" spans="1:8">
      <c r="A20" s="541" t="s">
        <v>1174</v>
      </c>
      <c r="B20" s="1249">
        <v>62</v>
      </c>
      <c r="C20" s="545" t="s">
        <v>1185</v>
      </c>
      <c r="D20" s="529">
        <f t="shared" ref="D20:E20" si="8">+C58</f>
        <v>17006488970.214859</v>
      </c>
      <c r="E20" s="529">
        <f t="shared" si="8"/>
        <v>6338061421.6311264</v>
      </c>
      <c r="F20" s="529">
        <f>+E58</f>
        <v>10668427548.583725</v>
      </c>
      <c r="G20" s="1244"/>
      <c r="H20" s="249"/>
    </row>
    <row r="21" spans="1:8">
      <c r="A21" s="541" t="s">
        <v>1175</v>
      </c>
      <c r="B21" s="1249">
        <v>63</v>
      </c>
      <c r="C21" s="546" t="s">
        <v>1186</v>
      </c>
      <c r="D21" s="529">
        <f t="shared" ref="D21:E21" si="9">+C61</f>
        <v>550988.56544494629</v>
      </c>
      <c r="E21" s="529">
        <f t="shared" si="9"/>
        <v>440790.85235595703</v>
      </c>
      <c r="F21" s="529">
        <f>+E61</f>
        <v>110197.71308898926</v>
      </c>
      <c r="G21" s="1244"/>
      <c r="H21" s="249"/>
    </row>
    <row r="22" spans="1:8" ht="30.75" thickBot="1">
      <c r="A22" s="550" t="s">
        <v>1176</v>
      </c>
      <c r="B22" s="1249">
        <v>93</v>
      </c>
      <c r="C22" s="546" t="s">
        <v>1187</v>
      </c>
      <c r="D22" s="529">
        <f t="shared" ref="D22:E22" si="10">+C64</f>
        <v>413422880.36193854</v>
      </c>
      <c r="E22" s="529">
        <f t="shared" si="10"/>
        <v>67022425.13183593</v>
      </c>
      <c r="F22" s="529">
        <f>+E64</f>
        <v>346400455.23010248</v>
      </c>
      <c r="G22" s="1244"/>
      <c r="H22" s="249"/>
    </row>
    <row r="23" spans="1:8" ht="15.75" thickBot="1">
      <c r="A23" s="278" t="s">
        <v>33</v>
      </c>
      <c r="B23" s="1250"/>
      <c r="C23" s="252"/>
      <c r="D23" s="548">
        <f t="shared" ref="D23:E23" si="11">+SUM(D12:D22)</f>
        <v>24083356990.840317</v>
      </c>
      <c r="E23" s="548">
        <f t="shared" si="11"/>
        <v>11276543712.099514</v>
      </c>
      <c r="F23" s="548">
        <f>+SUM(F12:F22)</f>
        <v>12806813278.740795</v>
      </c>
      <c r="G23" s="1570"/>
      <c r="H23" s="249"/>
    </row>
    <row r="24" spans="1:8" ht="14.1" customHeight="1">
      <c r="A24" s="1671" t="s">
        <v>1285</v>
      </c>
      <c r="B24" s="1671"/>
      <c r="C24" s="1671"/>
      <c r="D24" s="1671"/>
      <c r="E24" s="1671"/>
      <c r="F24" s="1671"/>
    </row>
    <row r="25" spans="1:8">
      <c r="A25" s="1672"/>
      <c r="B25" s="1672"/>
      <c r="C25" s="1672"/>
      <c r="D25" s="1672"/>
      <c r="E25" s="1672"/>
      <c r="F25" s="1672"/>
    </row>
    <row r="26" spans="1:8">
      <c r="D26" s="421"/>
    </row>
    <row r="29" spans="1:8">
      <c r="A29" s="1" t="s">
        <v>1630</v>
      </c>
    </row>
    <row r="31" spans="1:8" ht="45.75" thickBot="1">
      <c r="A31" s="1107" t="s">
        <v>1166</v>
      </c>
      <c r="B31" s="1107"/>
      <c r="C31" s="1284" t="s">
        <v>1160</v>
      </c>
      <c r="D31" s="1284" t="s">
        <v>1161</v>
      </c>
      <c r="E31" s="1284" t="s">
        <v>1162</v>
      </c>
    </row>
    <row r="32" spans="1:8">
      <c r="A32" s="1281">
        <v>11</v>
      </c>
      <c r="B32" s="1281" t="s">
        <v>596</v>
      </c>
      <c r="C32" s="1282">
        <v>12800</v>
      </c>
      <c r="D32" s="1282">
        <v>0</v>
      </c>
      <c r="E32" s="1282">
        <v>12800</v>
      </c>
    </row>
    <row r="33" spans="1:5">
      <c r="A33" s="1281"/>
      <c r="B33" s="1281" t="s">
        <v>593</v>
      </c>
      <c r="C33" s="1282">
        <v>456.6868896484375</v>
      </c>
      <c r="D33" s="1282">
        <v>456.6868896484375</v>
      </c>
      <c r="E33" s="1282">
        <v>456.6868896484375</v>
      </c>
    </row>
    <row r="34" spans="1:5">
      <c r="A34" s="1281"/>
      <c r="B34" s="1281" t="s">
        <v>1137</v>
      </c>
      <c r="C34" s="1282">
        <v>5845592.1875</v>
      </c>
      <c r="D34" s="1282">
        <v>0</v>
      </c>
      <c r="E34" s="1282">
        <v>5845592.1875</v>
      </c>
    </row>
    <row r="35" spans="1:5">
      <c r="A35">
        <v>12</v>
      </c>
      <c r="B35" t="s">
        <v>596</v>
      </c>
      <c r="C35" s="514">
        <v>53650.121837509127</v>
      </c>
      <c r="D35" s="514">
        <v>14872.84385104475</v>
      </c>
      <c r="E35" s="514">
        <v>38777.277986464382</v>
      </c>
    </row>
    <row r="36" spans="1:5">
      <c r="B36" t="s">
        <v>593</v>
      </c>
      <c r="C36" s="514">
        <v>2502.7323989868164</v>
      </c>
      <c r="D36" s="514">
        <v>2502.7323989868164</v>
      </c>
      <c r="E36" s="514">
        <v>2502.7323989868164</v>
      </c>
    </row>
    <row r="37" spans="1:5">
      <c r="B37" t="s">
        <v>1137</v>
      </c>
      <c r="C37" s="514">
        <v>134271898.13232419</v>
      </c>
      <c r="D37" s="514">
        <v>37222748.17108155</v>
      </c>
      <c r="E37" s="514">
        <v>97049149.961242661</v>
      </c>
    </row>
    <row r="38" spans="1:5">
      <c r="A38" s="1281">
        <v>29</v>
      </c>
      <c r="B38" s="1281" t="s">
        <v>596</v>
      </c>
      <c r="C38" s="1282">
        <v>195890.1455756686</v>
      </c>
      <c r="D38" s="1282">
        <v>0</v>
      </c>
      <c r="E38" s="1282">
        <v>195890.1455756686</v>
      </c>
    </row>
    <row r="39" spans="1:5">
      <c r="A39" s="1281"/>
      <c r="B39" s="1281" t="s">
        <v>593</v>
      </c>
      <c r="C39" s="1282">
        <v>965.25770568847656</v>
      </c>
      <c r="D39" s="1282">
        <v>965.25770568847656</v>
      </c>
      <c r="E39" s="1282">
        <v>965.25770568847656</v>
      </c>
    </row>
    <row r="40" spans="1:5">
      <c r="A40" s="1281"/>
      <c r="B40" s="1281" t="s">
        <v>1137</v>
      </c>
      <c r="C40" s="1282">
        <v>189084472.48535156</v>
      </c>
      <c r="D40" s="1282">
        <v>0</v>
      </c>
      <c r="E40" s="1282">
        <v>189084472.48535156</v>
      </c>
    </row>
    <row r="41" spans="1:5">
      <c r="A41">
        <v>31</v>
      </c>
      <c r="B41" t="s">
        <v>596</v>
      </c>
      <c r="C41" s="514">
        <v>16568.650523955828</v>
      </c>
      <c r="D41" s="514">
        <v>2644.2298215342312</v>
      </c>
      <c r="E41" s="514">
        <v>13924.420702421598</v>
      </c>
    </row>
    <row r="42" spans="1:5">
      <c r="B42" t="s">
        <v>593</v>
      </c>
      <c r="C42" s="514">
        <v>59.690301895141602</v>
      </c>
      <c r="D42" s="514">
        <v>59.690301895141602</v>
      </c>
      <c r="E42" s="514">
        <v>59.690301895141602</v>
      </c>
    </row>
    <row r="43" spans="1:5">
      <c r="B43" t="s">
        <v>1137</v>
      </c>
      <c r="C43" s="514">
        <v>988987.75177001941</v>
      </c>
      <c r="D43" s="514">
        <v>157834.87632751465</v>
      </c>
      <c r="E43" s="514">
        <v>831152.87544250488</v>
      </c>
    </row>
    <row r="44" spans="1:5">
      <c r="A44" s="1281">
        <v>32</v>
      </c>
      <c r="B44" s="1281" t="s">
        <v>596</v>
      </c>
      <c r="C44" s="1282">
        <v>196923.49037100078</v>
      </c>
      <c r="D44" s="1282">
        <v>594876.52730493993</v>
      </c>
      <c r="E44" s="1282">
        <v>-397953.03693393915</v>
      </c>
    </row>
    <row r="45" spans="1:5">
      <c r="A45" s="1281"/>
      <c r="B45" s="1281" t="s">
        <v>593</v>
      </c>
      <c r="C45" s="1282">
        <v>3428.3185119628906</v>
      </c>
      <c r="D45" s="1282">
        <v>3428.3185119628906</v>
      </c>
      <c r="E45" s="1282">
        <v>3428.3185119628906</v>
      </c>
    </row>
    <row r="46" spans="1:5">
      <c r="A46" s="1281"/>
      <c r="B46" s="1281" t="s">
        <v>1137</v>
      </c>
      <c r="C46" s="1282">
        <v>675116447.47924805</v>
      </c>
      <c r="D46" s="1282">
        <v>2039426210.8917236</v>
      </c>
      <c r="E46" s="1282">
        <v>-1364309763.4124756</v>
      </c>
    </row>
    <row r="47" spans="1:5">
      <c r="A47">
        <v>33</v>
      </c>
      <c r="B47" t="s">
        <v>596</v>
      </c>
      <c r="C47" s="514">
        <v>217914.10699663972</v>
      </c>
      <c r="D47" s="514">
        <v>108417.46256005439</v>
      </c>
      <c r="E47" s="514">
        <v>109496.64443658524</v>
      </c>
    </row>
    <row r="48" spans="1:5">
      <c r="B48" t="s">
        <v>593</v>
      </c>
      <c r="C48" s="514">
        <v>25671.995727539063</v>
      </c>
      <c r="D48" s="514">
        <v>25671.995727539063</v>
      </c>
      <c r="E48" s="514">
        <v>25671.995727539063</v>
      </c>
    </row>
    <row r="49" spans="1:5">
      <c r="B49" t="s">
        <v>1137</v>
      </c>
      <c r="C49" s="514">
        <v>5594290023.7882252</v>
      </c>
      <c r="D49" s="514">
        <v>2783292635.6323428</v>
      </c>
      <c r="E49" s="514">
        <v>2810997388.15588</v>
      </c>
    </row>
    <row r="50" spans="1:5">
      <c r="A50" s="1281">
        <v>36</v>
      </c>
      <c r="B50" s="1281" t="s">
        <v>596</v>
      </c>
      <c r="C50" s="1282">
        <v>112081.65504037867</v>
      </c>
      <c r="D50" s="1282">
        <v>24537.573769947689</v>
      </c>
      <c r="E50" s="1282">
        <v>87544.081270430994</v>
      </c>
    </row>
    <row r="51" spans="1:5">
      <c r="A51" s="1281"/>
      <c r="B51" s="1281" t="s">
        <v>593</v>
      </c>
      <c r="C51" s="1282">
        <v>445.01730346679687</v>
      </c>
      <c r="D51" s="1282">
        <v>445.01730346679687</v>
      </c>
      <c r="E51" s="1282">
        <v>445.01730346679687</v>
      </c>
    </row>
    <row r="52" spans="1:5">
      <c r="A52" s="1281"/>
      <c r="B52" s="1281" t="s">
        <v>1137</v>
      </c>
      <c r="C52" s="1282">
        <v>49878275.894165039</v>
      </c>
      <c r="D52" s="1282">
        <v>10919644.912719725</v>
      </c>
      <c r="E52" s="1282">
        <v>38958630.98144532</v>
      </c>
    </row>
    <row r="53" spans="1:5">
      <c r="A53">
        <v>38</v>
      </c>
      <c r="B53" t="s">
        <v>596</v>
      </c>
      <c r="C53" s="514">
        <v>84000.000000000015</v>
      </c>
      <c r="D53" s="514">
        <v>0</v>
      </c>
      <c r="E53" s="514">
        <v>84000.000000000015</v>
      </c>
    </row>
    <row r="54" spans="1:5">
      <c r="B54" t="s">
        <v>593</v>
      </c>
      <c r="C54" s="514">
        <v>159.74349975585937</v>
      </c>
      <c r="D54" s="514">
        <v>159.74349975585937</v>
      </c>
      <c r="E54" s="514">
        <v>159.74349975585937</v>
      </c>
    </row>
    <row r="55" spans="1:5">
      <c r="B55" t="s">
        <v>1137</v>
      </c>
      <c r="C55" s="514">
        <v>13418453.979492189</v>
      </c>
      <c r="D55" s="514">
        <v>0</v>
      </c>
      <c r="E55" s="514">
        <v>13418453.979492189</v>
      </c>
    </row>
    <row r="56" spans="1:5">
      <c r="A56" s="1281">
        <v>62</v>
      </c>
      <c r="B56" s="1281" t="s">
        <v>596</v>
      </c>
      <c r="C56" s="1282">
        <v>314507.00847941107</v>
      </c>
      <c r="D56" s="1282">
        <v>117212.00894359472</v>
      </c>
      <c r="E56" s="1282">
        <v>197294.99953581623</v>
      </c>
    </row>
    <row r="57" spans="1:5">
      <c r="A57" s="1281"/>
      <c r="B57" s="1281" t="s">
        <v>593</v>
      </c>
      <c r="C57" s="1282">
        <v>54073.481708526611</v>
      </c>
      <c r="D57" s="1282">
        <v>54073.481708526611</v>
      </c>
      <c r="E57" s="1282">
        <v>54073.481708526611</v>
      </c>
    </row>
    <row r="58" spans="1:5">
      <c r="A58" s="1281"/>
      <c r="B58" s="1281" t="s">
        <v>1137</v>
      </c>
      <c r="C58" s="1282">
        <v>17006488970.214859</v>
      </c>
      <c r="D58" s="1282">
        <v>6338061421.6311264</v>
      </c>
      <c r="E58" s="1282">
        <v>10668427548.583725</v>
      </c>
    </row>
    <row r="59" spans="1:5">
      <c r="A59">
        <v>63</v>
      </c>
      <c r="B59" t="s">
        <v>596</v>
      </c>
      <c r="C59" s="514">
        <v>10500</v>
      </c>
      <c r="D59" s="514">
        <v>8400</v>
      </c>
      <c r="E59" s="514">
        <v>2100</v>
      </c>
    </row>
    <row r="60" spans="1:5">
      <c r="B60" t="s">
        <v>593</v>
      </c>
      <c r="C60" s="514">
        <v>52.475101470947266</v>
      </c>
      <c r="D60" s="514">
        <v>52.475101470947266</v>
      </c>
      <c r="E60" s="514">
        <v>52.475101470947266</v>
      </c>
    </row>
    <row r="61" spans="1:5">
      <c r="B61" t="s">
        <v>1137</v>
      </c>
      <c r="C61" s="514">
        <v>550988.56544494629</v>
      </c>
      <c r="D61" s="514">
        <v>440790.85235595703</v>
      </c>
      <c r="E61" s="514">
        <v>110197.71308898926</v>
      </c>
    </row>
    <row r="62" spans="1:5">
      <c r="A62" s="1281">
        <v>93</v>
      </c>
      <c r="B62" s="1281" t="s">
        <v>596</v>
      </c>
      <c r="C62" s="1282">
        <v>88942.083344615618</v>
      </c>
      <c r="D62" s="1282">
        <v>14418.926491962047</v>
      </c>
      <c r="E62" s="1282">
        <v>74523.156852653541</v>
      </c>
    </row>
    <row r="63" spans="1:5">
      <c r="A63" s="1281"/>
      <c r="B63" s="1281" t="s">
        <v>593</v>
      </c>
      <c r="C63" s="1282">
        <v>4648.2257308959961</v>
      </c>
      <c r="D63" s="1282">
        <v>4648.2257308959961</v>
      </c>
      <c r="E63" s="1282">
        <v>4648.2257308959961</v>
      </c>
    </row>
    <row r="64" spans="1:5" ht="15.75" thickBot="1">
      <c r="A64" s="1281"/>
      <c r="B64" s="1281" t="s">
        <v>1137</v>
      </c>
      <c r="C64" s="1282">
        <v>413422880.36193854</v>
      </c>
      <c r="D64" s="1282">
        <v>67022425.13183593</v>
      </c>
      <c r="E64" s="1282">
        <v>346400455.23010248</v>
      </c>
    </row>
    <row r="65" spans="1:6">
      <c r="A65" s="1280" t="s">
        <v>33</v>
      </c>
      <c r="B65" s="255" t="s">
        <v>596</v>
      </c>
      <c r="C65" s="532">
        <v>260463.04178684659</v>
      </c>
      <c r="D65" s="532">
        <v>121956.53941486907</v>
      </c>
      <c r="E65" s="532">
        <v>138506.50237197758</v>
      </c>
      <c r="F65" s="249"/>
    </row>
    <row r="66" spans="1:6">
      <c r="A66" s="262"/>
      <c r="B66" s="249" t="s">
        <v>593</v>
      </c>
      <c r="C66" s="534">
        <v>92463.624879837036</v>
      </c>
      <c r="D66" s="534">
        <v>92463.624879837036</v>
      </c>
      <c r="E66" s="534">
        <v>92463.624879837036</v>
      </c>
      <c r="F66" s="249"/>
    </row>
    <row r="67" spans="1:6" ht="15.75" thickBot="1">
      <c r="A67" s="263"/>
      <c r="B67" s="1107" t="s">
        <v>1137</v>
      </c>
      <c r="C67" s="1283">
        <v>24083356990.840302</v>
      </c>
      <c r="D67" s="1283">
        <v>11276543712.099514</v>
      </c>
      <c r="E67" s="1283">
        <v>12806813278.740793</v>
      </c>
      <c r="F67" s="249"/>
    </row>
  </sheetData>
  <mergeCells count="1">
    <mergeCell ref="A24:F25"/>
  </mergeCells>
  <pageMargins left="0.7" right="0.7" top="0.75" bottom="0.75" header="0.3" footer="0.3"/>
  <ignoredErrors>
    <ignoredError sqref="C12" numberStoredAsText="1"/>
  </ignoredError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99DFD"/>
  </sheetPr>
  <dimension ref="A1:K50"/>
  <sheetViews>
    <sheetView workbookViewId="0"/>
  </sheetViews>
  <sheetFormatPr defaultColWidth="11.42578125" defaultRowHeight="15"/>
  <cols>
    <col min="1" max="1" width="72" customWidth="1"/>
    <col min="2" max="2" width="15.140625" bestFit="1" customWidth="1"/>
  </cols>
  <sheetData>
    <row r="1" spans="1:11" ht="24.75">
      <c r="A1" s="1262" t="s">
        <v>1429</v>
      </c>
      <c r="B1" s="1267"/>
    </row>
    <row r="2" spans="1:11" ht="15" customHeight="1" thickBot="1">
      <c r="D2" s="1681" t="s">
        <v>1430</v>
      </c>
      <c r="E2" s="249"/>
      <c r="F2" s="249"/>
      <c r="G2" s="249"/>
      <c r="H2" s="249"/>
      <c r="I2" s="249"/>
      <c r="J2" s="249"/>
      <c r="K2" s="249"/>
    </row>
    <row r="3" spans="1:11" ht="15.75" thickBot="1">
      <c r="A3" s="543" t="s">
        <v>555</v>
      </c>
      <c r="B3" s="1066" t="s">
        <v>33</v>
      </c>
      <c r="D3" s="1681"/>
      <c r="E3" s="249"/>
      <c r="F3" s="249"/>
      <c r="G3" s="249"/>
      <c r="H3" s="249"/>
      <c r="I3" s="249"/>
      <c r="J3" s="249"/>
      <c r="K3" s="249"/>
    </row>
    <row r="4" spans="1:11" ht="14.1" customHeight="1">
      <c r="A4" s="387" t="s">
        <v>556</v>
      </c>
      <c r="B4" s="1067">
        <v>66230000</v>
      </c>
      <c r="D4" s="1681"/>
      <c r="E4" s="249"/>
      <c r="F4" s="249"/>
      <c r="G4" s="249"/>
      <c r="H4" s="249"/>
      <c r="I4" s="249"/>
      <c r="J4" s="249"/>
      <c r="K4" s="249"/>
    </row>
    <row r="5" spans="1:11">
      <c r="A5" s="262" t="s">
        <v>557</v>
      </c>
      <c r="B5" s="1068">
        <v>72510000</v>
      </c>
      <c r="D5" s="1681"/>
      <c r="E5" s="249"/>
      <c r="F5" s="249"/>
      <c r="G5" s="249"/>
      <c r="H5" s="249"/>
      <c r="I5" s="249"/>
      <c r="J5" s="249"/>
      <c r="K5" s="249"/>
    </row>
    <row r="6" spans="1:11">
      <c r="A6" s="262" t="s">
        <v>558</v>
      </c>
      <c r="B6" s="1068">
        <v>71860000</v>
      </c>
      <c r="D6" s="1681"/>
      <c r="E6" s="249"/>
      <c r="F6" s="249"/>
      <c r="G6" s="249"/>
      <c r="H6" s="249"/>
      <c r="I6" s="249"/>
      <c r="J6" s="249"/>
      <c r="K6" s="249"/>
    </row>
    <row r="7" spans="1:11">
      <c r="A7" s="262" t="s">
        <v>566</v>
      </c>
      <c r="B7" s="1068">
        <v>236580000</v>
      </c>
      <c r="D7" s="1681"/>
      <c r="E7" s="249"/>
      <c r="F7" s="249"/>
      <c r="G7" s="249"/>
      <c r="H7" s="249"/>
      <c r="I7" s="249"/>
      <c r="J7" s="249"/>
      <c r="K7" s="249"/>
    </row>
    <row r="8" spans="1:11" ht="15.75" thickBot="1">
      <c r="A8" s="263" t="s">
        <v>567</v>
      </c>
      <c r="B8" s="1069">
        <v>37500000</v>
      </c>
      <c r="D8" s="1681"/>
      <c r="E8" s="249"/>
      <c r="F8" s="249"/>
      <c r="G8" s="249"/>
      <c r="H8" s="249"/>
      <c r="I8" s="249"/>
      <c r="J8" s="249"/>
      <c r="K8" s="249"/>
    </row>
    <row r="9" spans="1:11" ht="15.75" thickBot="1">
      <c r="A9" s="1065" t="s">
        <v>33</v>
      </c>
      <c r="B9" s="1070">
        <f>+SUM(B4:B8)</f>
        <v>484680000</v>
      </c>
      <c r="D9" s="1681"/>
      <c r="E9" s="249"/>
      <c r="F9" s="249"/>
      <c r="G9" s="249"/>
      <c r="H9" s="249"/>
      <c r="I9" s="249"/>
      <c r="J9" s="249"/>
      <c r="K9" s="249"/>
    </row>
    <row r="10" spans="1:11" ht="15.75" thickBot="1">
      <c r="A10" s="1679" t="s">
        <v>570</v>
      </c>
      <c r="B10" s="1680"/>
      <c r="D10" s="1681"/>
      <c r="E10" s="249"/>
      <c r="F10" s="249"/>
      <c r="G10" s="249"/>
      <c r="H10" s="249"/>
      <c r="I10" s="249"/>
      <c r="J10" s="249"/>
      <c r="K10" s="249"/>
    </row>
    <row r="11" spans="1:11">
      <c r="A11" s="1675" t="s">
        <v>568</v>
      </c>
      <c r="B11" s="1676"/>
      <c r="D11" s="1681"/>
      <c r="E11" s="249"/>
      <c r="F11" s="249"/>
      <c r="G11" s="249"/>
      <c r="H11" s="249"/>
      <c r="I11" s="249"/>
      <c r="J11" s="249"/>
      <c r="K11" s="249"/>
    </row>
    <row r="12" spans="1:11" ht="120" customHeight="1">
      <c r="A12" s="1673" t="s">
        <v>1431</v>
      </c>
      <c r="B12" s="1674"/>
      <c r="D12" s="1681"/>
      <c r="E12" s="249"/>
      <c r="F12" s="249"/>
      <c r="G12" s="249"/>
      <c r="H12" s="249"/>
      <c r="I12" s="249"/>
      <c r="J12" s="249"/>
      <c r="K12" s="249"/>
    </row>
    <row r="13" spans="1:11" ht="15.75" thickBot="1">
      <c r="A13" s="1677" t="s">
        <v>569</v>
      </c>
      <c r="B13" s="1678"/>
      <c r="D13" s="1681"/>
      <c r="E13" s="249"/>
      <c r="F13" s="249"/>
      <c r="G13" s="249"/>
      <c r="H13" s="249"/>
      <c r="I13" s="249"/>
      <c r="J13" s="249"/>
      <c r="K13" s="249"/>
    </row>
    <row r="14" spans="1:11">
      <c r="D14" s="1681"/>
      <c r="E14" s="249"/>
      <c r="F14" s="249"/>
      <c r="G14" s="249"/>
      <c r="H14" s="249"/>
      <c r="I14" s="249"/>
      <c r="J14" s="249"/>
      <c r="K14" s="249"/>
    </row>
    <row r="15" spans="1:11">
      <c r="A15" t="s">
        <v>564</v>
      </c>
      <c r="D15" s="1681"/>
      <c r="E15" s="249"/>
      <c r="F15" s="249"/>
      <c r="G15" s="249"/>
      <c r="H15" s="249"/>
      <c r="I15" s="249"/>
      <c r="J15" s="249"/>
      <c r="K15" s="249"/>
    </row>
    <row r="16" spans="1:11">
      <c r="A16" s="132" t="s">
        <v>559</v>
      </c>
      <c r="D16" s="1681"/>
      <c r="E16" s="249"/>
      <c r="F16" s="249"/>
      <c r="G16" s="249"/>
      <c r="H16" s="249"/>
      <c r="I16" s="249"/>
      <c r="J16" s="249"/>
      <c r="K16" s="249"/>
    </row>
    <row r="17" spans="1:11">
      <c r="A17" s="130" t="s">
        <v>560</v>
      </c>
      <c r="D17" s="1681"/>
      <c r="E17" s="249"/>
      <c r="F17" s="249"/>
      <c r="G17" s="249"/>
      <c r="H17" s="249"/>
      <c r="I17" s="249"/>
      <c r="J17" s="249"/>
      <c r="K17" s="249"/>
    </row>
    <row r="18" spans="1:11">
      <c r="A18" s="130" t="s">
        <v>565</v>
      </c>
      <c r="D18" s="1681"/>
      <c r="E18" s="249"/>
      <c r="F18" s="249"/>
      <c r="G18" s="249"/>
      <c r="H18" s="249"/>
      <c r="I18" s="249"/>
      <c r="J18" s="249"/>
      <c r="K18" s="249"/>
    </row>
    <row r="19" spans="1:11">
      <c r="A19" s="130" t="s">
        <v>561</v>
      </c>
      <c r="D19" s="1681"/>
      <c r="E19" s="249"/>
      <c r="F19" s="249"/>
      <c r="G19" s="249"/>
      <c r="H19" s="249"/>
      <c r="I19" s="249"/>
      <c r="J19" s="249"/>
      <c r="K19" s="249"/>
    </row>
    <row r="20" spans="1:11">
      <c r="A20" s="130" t="s">
        <v>562</v>
      </c>
      <c r="D20" s="1681"/>
      <c r="E20" s="249"/>
      <c r="F20" s="249"/>
      <c r="G20" s="249"/>
      <c r="H20" s="249"/>
      <c r="I20" s="249"/>
      <c r="J20" s="249"/>
      <c r="K20" s="249"/>
    </row>
    <row r="21" spans="1:11">
      <c r="A21" s="131" t="s">
        <v>563</v>
      </c>
      <c r="D21" s="1681"/>
      <c r="E21" s="249"/>
      <c r="F21" s="249"/>
      <c r="G21" s="249"/>
      <c r="H21" s="249"/>
      <c r="I21" s="249"/>
      <c r="J21" s="249"/>
      <c r="K21" s="249"/>
    </row>
    <row r="22" spans="1:11">
      <c r="D22" s="1681"/>
      <c r="E22" s="249"/>
      <c r="F22" s="249"/>
      <c r="G22" s="249"/>
      <c r="H22" s="249"/>
      <c r="I22" s="249"/>
      <c r="J22" s="249"/>
      <c r="K22" s="249"/>
    </row>
    <row r="23" spans="1:11">
      <c r="D23" s="1073"/>
      <c r="E23" s="249"/>
      <c r="F23" s="249"/>
      <c r="G23" s="249"/>
      <c r="H23" s="249"/>
      <c r="I23" s="249"/>
      <c r="J23" s="249"/>
      <c r="K23" s="249"/>
    </row>
    <row r="24" spans="1:11" ht="15.75" thickBot="1">
      <c r="D24" s="1073"/>
      <c r="E24" s="166"/>
      <c r="F24" s="166"/>
      <c r="G24" s="166"/>
      <c r="H24" s="166"/>
      <c r="I24" s="166"/>
      <c r="J24" s="260"/>
    </row>
    <row r="26" spans="1:11" ht="20.100000000000001" customHeight="1"/>
    <row r="28" spans="1:11">
      <c r="A28" s="335"/>
    </row>
    <row r="32" spans="1:11">
      <c r="B32" s="84"/>
    </row>
    <row r="33" spans="1:2">
      <c r="B33" s="99"/>
    </row>
    <row r="34" spans="1:2">
      <c r="B34" s="84"/>
    </row>
    <row r="35" spans="1:2">
      <c r="B35" s="84"/>
    </row>
    <row r="36" spans="1:2" ht="14.1" customHeight="1">
      <c r="A36" s="126"/>
      <c r="B36" s="84"/>
    </row>
    <row r="38" spans="1:2" ht="15.75">
      <c r="A38" s="127"/>
    </row>
    <row r="48" spans="1:2" ht="31.5">
      <c r="A48" s="129"/>
    </row>
    <row r="50" spans="1:1" ht="31.5">
      <c r="A50" s="128"/>
    </row>
  </sheetData>
  <mergeCells count="5">
    <mergeCell ref="A12:B12"/>
    <mergeCell ref="A11:B11"/>
    <mergeCell ref="A13:B13"/>
    <mergeCell ref="A10:B10"/>
    <mergeCell ref="D2:D22"/>
  </mergeCells>
  <pageMargins left="0.75" right="0.75" top="1" bottom="1" header="0.5" footer="0.5"/>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0400A"/>
  </sheetPr>
  <dimension ref="A1:BB129"/>
  <sheetViews>
    <sheetView workbookViewId="0">
      <selection sqref="A1:B1"/>
    </sheetView>
  </sheetViews>
  <sheetFormatPr defaultColWidth="11.42578125" defaultRowHeight="15"/>
  <cols>
    <col min="1" max="1" width="25.140625" style="483" customWidth="1"/>
    <col min="2" max="2" width="18.85546875" style="483" customWidth="1"/>
    <col min="3" max="3" width="18.28515625" style="483" customWidth="1"/>
    <col min="4" max="4" width="14.140625" style="483" customWidth="1"/>
    <col min="5" max="5" width="17.140625" style="483" customWidth="1"/>
    <col min="6" max="6" width="14.28515625" style="483" customWidth="1"/>
    <col min="7" max="7" width="16.28515625" style="483" bestFit="1" customWidth="1"/>
    <col min="8" max="8" width="13.42578125" style="483" customWidth="1"/>
    <col min="9" max="9" width="18.28515625" style="483" customWidth="1"/>
    <col min="10" max="10" width="16.28515625" style="483" bestFit="1" customWidth="1"/>
    <col min="11" max="11" width="11.42578125" style="483" customWidth="1"/>
    <col min="12" max="12" width="20.7109375" style="483" customWidth="1"/>
    <col min="13" max="14" width="12.140625" style="483" bestFit="1" customWidth="1"/>
    <col min="15" max="17" width="11.42578125" style="483" bestFit="1" customWidth="1"/>
    <col min="18" max="19" width="11.42578125" style="483"/>
    <col min="20" max="20" width="16.85546875" style="483" bestFit="1" customWidth="1"/>
    <col min="21" max="21" width="25.85546875" style="483" customWidth="1"/>
    <col min="22" max="23" width="11.42578125" style="483"/>
    <col min="24" max="24" width="14.28515625" style="483" bestFit="1" customWidth="1"/>
    <col min="25" max="25" width="22.85546875" style="483" customWidth="1"/>
    <col min="26" max="16384" width="11.42578125" style="483"/>
  </cols>
  <sheetData>
    <row r="1" spans="1:17" ht="21" customHeight="1">
      <c r="A1" s="1700" t="s">
        <v>704</v>
      </c>
      <c r="B1" s="1700"/>
      <c r="C1" s="485"/>
      <c r="D1" s="485"/>
      <c r="E1" s="485"/>
      <c r="F1" s="485"/>
      <c r="G1" s="485"/>
      <c r="H1" s="485"/>
      <c r="L1" s="486"/>
      <c r="M1" s="486"/>
      <c r="N1" s="486"/>
      <c r="O1" s="486"/>
      <c r="P1" s="486"/>
      <c r="Q1" s="486"/>
    </row>
    <row r="2" spans="1:17" ht="12.95" customHeight="1" thickBot="1">
      <c r="A2" s="487"/>
      <c r="B2" s="1685" t="s">
        <v>22</v>
      </c>
      <c r="C2" s="1685"/>
      <c r="D2" s="1685" t="s">
        <v>654</v>
      </c>
      <c r="E2" s="1685"/>
      <c r="F2" s="1685" t="s">
        <v>655</v>
      </c>
      <c r="G2" s="1685"/>
      <c r="H2" s="1685" t="s">
        <v>656</v>
      </c>
      <c r="I2" s="1685"/>
    </row>
    <row r="3" spans="1:17" ht="15.75" thickBot="1">
      <c r="B3" s="488" t="s">
        <v>667</v>
      </c>
      <c r="C3" s="488" t="s">
        <v>668</v>
      </c>
      <c r="D3" s="488" t="s">
        <v>667</v>
      </c>
      <c r="E3" s="488" t="s">
        <v>668</v>
      </c>
      <c r="F3" s="488" t="s">
        <v>667</v>
      </c>
      <c r="G3" s="488" t="s">
        <v>668</v>
      </c>
      <c r="H3" s="488" t="s">
        <v>667</v>
      </c>
      <c r="I3" s="488" t="s">
        <v>668</v>
      </c>
      <c r="L3" s="489"/>
    </row>
    <row r="4" spans="1:17">
      <c r="A4" s="483" t="s">
        <v>572</v>
      </c>
      <c r="B4" s="514">
        <f>+N9+N10</f>
        <v>2693442</v>
      </c>
      <c r="C4" s="551">
        <f>+B4*hh_wood_exp_Mmainfuel</f>
        <v>64968665489.315697</v>
      </c>
      <c r="D4" s="515">
        <f>'Fuelwood IHS tables'!C14+'Fuelwood IHS tables'!D14</f>
        <v>369439</v>
      </c>
      <c r="E4" s="515">
        <f>D4*M56</f>
        <v>7161185255.2534904</v>
      </c>
      <c r="F4" s="515">
        <f>'Fuelwood IHS tables'!C25+'Fuelwood IHS tables'!D25</f>
        <v>1120895</v>
      </c>
      <c r="G4" s="515">
        <f>F4*M57</f>
        <v>29248235337.088894</v>
      </c>
      <c r="H4" s="515">
        <f>'Fuelwood IHS tables'!C41+'Fuelwood IHS tables'!D41</f>
        <v>1203106</v>
      </c>
      <c r="I4" s="515">
        <f>H4*M58</f>
        <v>28532384030.946983</v>
      </c>
      <c r="J4" s="483">
        <f>+H4+F4+D4</f>
        <v>2693440</v>
      </c>
      <c r="L4" s="566"/>
      <c r="M4" s="567" t="s">
        <v>599</v>
      </c>
      <c r="N4" s="557"/>
      <c r="O4" s="557"/>
      <c r="P4" s="557"/>
      <c r="Q4" s="558"/>
    </row>
    <row r="5" spans="1:17">
      <c r="A5" s="483" t="s">
        <v>669</v>
      </c>
      <c r="B5" s="514">
        <f>+N28</f>
        <v>144136</v>
      </c>
      <c r="C5" s="515">
        <f>+B5*hh_wood_exp_Mnotmain</f>
        <v>2692397812.2189145</v>
      </c>
      <c r="D5" s="515">
        <f>'Fuelwood IHS tables'!C185</f>
        <v>5457</v>
      </c>
      <c r="E5" s="515">
        <f>D5*N56</f>
        <v>81915590.805140436</v>
      </c>
      <c r="F5" s="515">
        <f>'Fuelwood IHS tables'!C196</f>
        <v>47759</v>
      </c>
      <c r="G5" s="515">
        <f>F5*M57</f>
        <v>1246206354.2651439</v>
      </c>
      <c r="H5" s="515">
        <f>'Fuelwood IHS tables'!C212</f>
        <v>90918</v>
      </c>
      <c r="I5" s="515">
        <f>H5*N58</f>
        <v>1669761668.5238414</v>
      </c>
      <c r="J5" s="483">
        <f>+H5+F5+D5</f>
        <v>144134</v>
      </c>
      <c r="L5" s="559"/>
      <c r="M5" s="542"/>
      <c r="N5" s="542"/>
      <c r="O5" s="542"/>
      <c r="P5" s="542"/>
      <c r="Q5" s="561"/>
    </row>
    <row r="6" spans="1:17">
      <c r="A6" s="490" t="s">
        <v>33</v>
      </c>
      <c r="B6" s="516">
        <f t="shared" ref="B6:I6" si="0">+B5+B4</f>
        <v>2837578</v>
      </c>
      <c r="C6" s="516">
        <f t="shared" si="0"/>
        <v>67661063301.534615</v>
      </c>
      <c r="D6" s="516">
        <f t="shared" si="0"/>
        <v>374896</v>
      </c>
      <c r="E6" s="516">
        <f t="shared" si="0"/>
        <v>7243100846.0586309</v>
      </c>
      <c r="F6" s="516">
        <f t="shared" si="0"/>
        <v>1168654</v>
      </c>
      <c r="G6" s="516">
        <f t="shared" si="0"/>
        <v>30494441691.354038</v>
      </c>
      <c r="H6" s="516">
        <f t="shared" si="0"/>
        <v>1294024</v>
      </c>
      <c r="I6" s="516">
        <f t="shared" si="0"/>
        <v>30202145699.470825</v>
      </c>
      <c r="J6" s="483">
        <f>+H6+F6+D6</f>
        <v>2837574</v>
      </c>
      <c r="L6" s="568" t="s">
        <v>1098</v>
      </c>
      <c r="M6" s="560" t="s">
        <v>599</v>
      </c>
      <c r="N6" s="542"/>
      <c r="O6" s="542"/>
      <c r="P6" s="542"/>
      <c r="Q6" s="561"/>
    </row>
    <row r="7" spans="1:17" ht="41.25" customHeight="1" thickBot="1">
      <c r="A7" s="1686" t="s">
        <v>1097</v>
      </c>
      <c r="B7" s="1686"/>
      <c r="C7" s="1686"/>
      <c r="D7" s="1686"/>
      <c r="E7" s="1686"/>
      <c r="F7" s="1686"/>
      <c r="G7" s="1686"/>
      <c r="H7" s="1686"/>
      <c r="I7" s="1686"/>
      <c r="L7" s="1708" t="s">
        <v>1195</v>
      </c>
      <c r="M7" s="1709"/>
      <c r="N7" s="1709"/>
      <c r="O7" s="1709"/>
      <c r="P7" s="1709"/>
      <c r="Q7" s="1710"/>
    </row>
    <row r="8" spans="1:17" ht="17.100000000000001" customHeight="1" thickTop="1" thickBot="1">
      <c r="L8" s="569" t="s">
        <v>104</v>
      </c>
      <c r="M8" s="570"/>
      <c r="N8" s="571" t="s">
        <v>573</v>
      </c>
      <c r="O8" s="571" t="s">
        <v>574</v>
      </c>
      <c r="P8" s="571" t="s">
        <v>575</v>
      </c>
      <c r="Q8" s="572" t="s">
        <v>576</v>
      </c>
    </row>
    <row r="9" spans="1:17" ht="33" customHeight="1">
      <c r="E9" s="1150"/>
      <c r="L9" s="517" t="s">
        <v>577</v>
      </c>
      <c r="M9" s="492" t="s">
        <v>578</v>
      </c>
      <c r="N9" s="976">
        <v>2370364</v>
      </c>
      <c r="O9" s="493">
        <v>77.099999999999994</v>
      </c>
      <c r="P9" s="493">
        <v>77.099999999999994</v>
      </c>
      <c r="Q9" s="494">
        <v>77.099999999999994</v>
      </c>
    </row>
    <row r="10" spans="1:17" ht="23.25" customHeight="1" thickBot="1">
      <c r="A10" s="491" t="s">
        <v>1209</v>
      </c>
      <c r="B10" s="1148"/>
      <c r="C10" s="1149"/>
      <c r="D10" s="487"/>
      <c r="E10" s="487"/>
      <c r="F10" s="487"/>
      <c r="G10" s="487"/>
      <c r="H10" s="487"/>
      <c r="L10" s="496"/>
      <c r="M10" s="497" t="s">
        <v>579</v>
      </c>
      <c r="N10" s="976">
        <v>323078</v>
      </c>
      <c r="O10" s="493">
        <v>10.5</v>
      </c>
      <c r="P10" s="493">
        <v>10.5</v>
      </c>
      <c r="Q10" s="494">
        <v>87.7</v>
      </c>
    </row>
    <row r="11" spans="1:17" ht="15.75" thickBot="1">
      <c r="A11" s="574" t="s">
        <v>751</v>
      </c>
      <c r="B11" s="1155" t="s">
        <v>22</v>
      </c>
      <c r="C11" s="1156"/>
      <c r="D11" s="1156" t="s">
        <v>654</v>
      </c>
      <c r="E11" s="1156"/>
      <c r="F11" s="1156" t="s">
        <v>655</v>
      </c>
      <c r="G11" s="1156"/>
      <c r="H11" s="1157" t="s">
        <v>656</v>
      </c>
      <c r="L11" s="496"/>
      <c r="M11" s="498" t="s">
        <v>580</v>
      </c>
      <c r="N11" s="977">
        <v>2249</v>
      </c>
      <c r="O11" s="493">
        <v>0.1</v>
      </c>
      <c r="P11" s="493">
        <v>0.1</v>
      </c>
      <c r="Q11" s="494">
        <v>87.7</v>
      </c>
    </row>
    <row r="12" spans="1:17" ht="27.95" customHeight="1">
      <c r="A12" s="575" t="s">
        <v>572</v>
      </c>
      <c r="B12" s="483">
        <f>+SUM(D12:H12)</f>
        <v>10751695.621832067</v>
      </c>
      <c r="C12" s="534"/>
      <c r="D12" s="534">
        <f>+D4*woodvol_hhold_year</f>
        <v>1474729.5944346327</v>
      </c>
      <c r="E12" s="534"/>
      <c r="F12" s="534">
        <f>+F4*woodvol_hhold_year</f>
        <v>4474397.745646257</v>
      </c>
      <c r="G12" s="534"/>
      <c r="H12" s="535">
        <f>+H4*woodvol_hhold_year</f>
        <v>4802568.2817511773</v>
      </c>
      <c r="L12" s="496"/>
      <c r="M12" s="499" t="s">
        <v>581</v>
      </c>
      <c r="N12" s="978">
        <v>75323</v>
      </c>
      <c r="O12" s="493">
        <v>2.5</v>
      </c>
      <c r="P12" s="493">
        <v>2.5</v>
      </c>
      <c r="Q12" s="494">
        <v>90.2</v>
      </c>
    </row>
    <row r="13" spans="1:17" ht="15.75" thickBot="1">
      <c r="A13" s="576" t="s">
        <v>669</v>
      </c>
      <c r="B13" s="483">
        <f>+SUM(D13:H13)</f>
        <v>488568.07846563659</v>
      </c>
      <c r="C13" s="573"/>
      <c r="D13" s="536">
        <f>+(E5/E4)*D12</f>
        <v>16869.183200827822</v>
      </c>
      <c r="E13" s="536"/>
      <c r="F13" s="536">
        <f>+(G5/G4)*F12</f>
        <v>190644.76327784458</v>
      </c>
      <c r="G13" s="536"/>
      <c r="H13" s="537">
        <f>+(I5/I4)*H12</f>
        <v>281054.1319869642</v>
      </c>
      <c r="L13" s="496"/>
      <c r="M13" s="498" t="s">
        <v>582</v>
      </c>
      <c r="N13" s="977">
        <v>2058</v>
      </c>
      <c r="O13" s="493">
        <v>0.1</v>
      </c>
      <c r="P13" s="493">
        <v>0.1</v>
      </c>
      <c r="Q13" s="494">
        <v>90.3</v>
      </c>
    </row>
    <row r="14" spans="1:17" ht="15.75" thickBot="1">
      <c r="A14" s="577" t="s">
        <v>33</v>
      </c>
      <c r="B14" s="538">
        <f>+B13+B12</f>
        <v>11240263.700297704</v>
      </c>
      <c r="C14" s="538"/>
      <c r="D14" s="538">
        <f>+D13+D12</f>
        <v>1491598.7776354605</v>
      </c>
      <c r="E14" s="538"/>
      <c r="F14" s="538">
        <f>+F13+F12</f>
        <v>4665042.5089241015</v>
      </c>
      <c r="G14" s="538"/>
      <c r="H14" s="539">
        <f>+H13+H12</f>
        <v>5083622.4137381418</v>
      </c>
      <c r="L14" s="496"/>
      <c r="M14" s="500" t="s">
        <v>583</v>
      </c>
      <c r="N14" s="979">
        <v>272406</v>
      </c>
      <c r="O14" s="493">
        <v>8.9</v>
      </c>
      <c r="P14" s="493">
        <v>8.9</v>
      </c>
      <c r="Q14" s="494">
        <v>99.1</v>
      </c>
    </row>
    <row r="15" spans="1:17" ht="14.1" customHeight="1">
      <c r="A15" s="1694" t="s">
        <v>1561</v>
      </c>
      <c r="B15" s="1695"/>
      <c r="C15" s="1695"/>
      <c r="D15" s="1695"/>
      <c r="E15" s="1695"/>
      <c r="F15" s="1696"/>
      <c r="G15" s="1074"/>
      <c r="H15" s="1074"/>
      <c r="L15" s="496"/>
      <c r="M15" s="498" t="s">
        <v>584</v>
      </c>
      <c r="N15" s="977">
        <v>24235</v>
      </c>
      <c r="O15" s="493">
        <v>0.8</v>
      </c>
      <c r="P15" s="493">
        <v>0.8</v>
      </c>
      <c r="Q15" s="494">
        <v>99.9</v>
      </c>
    </row>
    <row r="16" spans="1:17">
      <c r="A16" s="1697"/>
      <c r="B16" s="1698"/>
      <c r="C16" s="1698"/>
      <c r="D16" s="1698"/>
      <c r="E16" s="1698"/>
      <c r="F16" s="1699"/>
      <c r="G16" s="1075"/>
      <c r="H16" s="1075"/>
      <c r="L16" s="496"/>
      <c r="M16" s="498" t="s">
        <v>585</v>
      </c>
      <c r="N16" s="977">
        <v>936</v>
      </c>
      <c r="O16" s="493">
        <v>0</v>
      </c>
      <c r="P16" s="493">
        <v>0</v>
      </c>
      <c r="Q16" s="494">
        <v>99.9</v>
      </c>
    </row>
    <row r="17" spans="1:17" ht="17.100000000000001" customHeight="1">
      <c r="A17" s="1183" t="s">
        <v>1562</v>
      </c>
      <c r="B17" s="1184"/>
      <c r="C17" s="1184"/>
      <c r="D17" s="1184"/>
      <c r="E17" s="1184"/>
      <c r="F17" s="1185"/>
      <c r="G17" s="1076"/>
      <c r="H17" s="1075"/>
      <c r="L17" s="496"/>
      <c r="M17" s="498" t="s">
        <v>586</v>
      </c>
      <c r="N17" s="977">
        <v>144</v>
      </c>
      <c r="O17" s="493">
        <v>0</v>
      </c>
      <c r="P17" s="493">
        <v>0</v>
      </c>
      <c r="Q17" s="494">
        <v>99.9</v>
      </c>
    </row>
    <row r="18" spans="1:17" ht="33.950000000000003" customHeight="1" thickBot="1">
      <c r="A18" s="1687" t="s">
        <v>1196</v>
      </c>
      <c r="B18" s="1688"/>
      <c r="C18" s="1688"/>
      <c r="D18" s="1688"/>
      <c r="E18" s="1688"/>
      <c r="F18" s="1689"/>
      <c r="L18" s="496"/>
      <c r="M18" s="498" t="s">
        <v>587</v>
      </c>
      <c r="N18" s="977">
        <v>908</v>
      </c>
      <c r="O18" s="493">
        <v>0</v>
      </c>
      <c r="P18" s="493">
        <v>0</v>
      </c>
      <c r="Q18" s="494">
        <v>100</v>
      </c>
    </row>
    <row r="19" spans="1:17" ht="15" customHeight="1">
      <c r="L19" s="496"/>
      <c r="M19" s="498">
        <v>14</v>
      </c>
      <c r="N19" s="977">
        <v>823</v>
      </c>
      <c r="O19" s="493">
        <v>0</v>
      </c>
      <c r="P19" s="493">
        <v>0</v>
      </c>
      <c r="Q19" s="494">
        <v>100</v>
      </c>
    </row>
    <row r="20" spans="1:17" ht="14.1" customHeight="1" thickBot="1">
      <c r="L20" s="502"/>
      <c r="M20" s="503" t="s">
        <v>33</v>
      </c>
      <c r="N20" s="504">
        <v>3072525</v>
      </c>
      <c r="O20" s="504">
        <v>100</v>
      </c>
      <c r="P20" s="504">
        <v>100</v>
      </c>
      <c r="Q20" s="505" t="s">
        <v>104</v>
      </c>
    </row>
    <row r="21" spans="1:17" ht="14.1" customHeight="1" thickTop="1" thickBot="1"/>
    <row r="22" spans="1:17" ht="15.75" hidden="1" customHeight="1" thickBot="1"/>
    <row r="23" spans="1:17" ht="15.75" customHeight="1">
      <c r="L23" s="555" t="s">
        <v>1099</v>
      </c>
      <c r="M23" s="556" t="s">
        <v>588</v>
      </c>
      <c r="N23" s="557"/>
      <c r="O23" s="557"/>
      <c r="P23" s="557"/>
      <c r="Q23" s="558"/>
    </row>
    <row r="24" spans="1:17" ht="28.5" customHeight="1" thickBot="1">
      <c r="L24" s="559"/>
      <c r="M24" s="560" t="s">
        <v>589</v>
      </c>
      <c r="N24" s="542"/>
      <c r="O24" s="542"/>
      <c r="P24" s="542"/>
      <c r="Q24" s="561"/>
    </row>
    <row r="25" spans="1:17">
      <c r="A25" s="566"/>
      <c r="B25" s="1691" t="s">
        <v>22</v>
      </c>
      <c r="C25" s="1691"/>
      <c r="D25" s="1692" t="s">
        <v>654</v>
      </c>
      <c r="E25" s="1692"/>
      <c r="F25" s="1691" t="s">
        <v>655</v>
      </c>
      <c r="G25" s="1691"/>
      <c r="H25" s="1692" t="s">
        <v>656</v>
      </c>
      <c r="I25" s="1693"/>
      <c r="L25" s="562"/>
      <c r="M25" s="542"/>
      <c r="N25" s="542"/>
      <c r="O25" s="542"/>
      <c r="P25" s="542"/>
      <c r="Q25" s="561"/>
    </row>
    <row r="26" spans="1:17" ht="15.75" thickBot="1">
      <c r="A26" s="559"/>
      <c r="B26" s="542" t="s">
        <v>1540</v>
      </c>
      <c r="C26" s="542" t="s">
        <v>1229</v>
      </c>
      <c r="D26" s="1165" t="s">
        <v>1540</v>
      </c>
      <c r="E26" s="1165" t="s">
        <v>1229</v>
      </c>
      <c r="F26" s="542" t="s">
        <v>1540</v>
      </c>
      <c r="G26" s="542" t="s">
        <v>1229</v>
      </c>
      <c r="H26" s="1165" t="s">
        <v>1540</v>
      </c>
      <c r="I26" s="1166" t="s">
        <v>1229</v>
      </c>
      <c r="L26" s="563"/>
      <c r="M26" s="487"/>
      <c r="N26" s="564" t="s">
        <v>588</v>
      </c>
      <c r="O26" s="487"/>
      <c r="P26" s="487"/>
      <c r="Q26" s="565"/>
    </row>
    <row r="27" spans="1:17" ht="30.75" thickBot="1">
      <c r="A27" s="1151" t="s">
        <v>1155</v>
      </c>
      <c r="B27" s="1155"/>
      <c r="C27" s="1158">
        <f>+C28/C6</f>
        <v>0.93666765640901239</v>
      </c>
      <c r="D27" s="1163"/>
      <c r="E27" s="1164">
        <f>+'Sources of gathered wood'!L12/'Hhold wood use for energy'!E6</f>
        <v>0.95550582400165285</v>
      </c>
      <c r="F27" s="1159"/>
      <c r="G27" s="1159">
        <f>+'Sources of gathered wood'!L24/'Hhold wood use for energy'!G6</f>
        <v>0.91339191323668256</v>
      </c>
      <c r="H27" s="1160"/>
      <c r="I27" s="1161">
        <f>+'Sources of gathered wood'!L41/'Hhold wood use for energy'!I6</f>
        <v>0.9470098050517235</v>
      </c>
      <c r="L27" s="1701" t="s">
        <v>104</v>
      </c>
      <c r="M27" s="1702"/>
      <c r="N27" s="552" t="s">
        <v>573</v>
      </c>
      <c r="O27" s="552" t="s">
        <v>574</v>
      </c>
      <c r="P27" s="552" t="s">
        <v>575</v>
      </c>
      <c r="Q27" s="553" t="s">
        <v>576</v>
      </c>
    </row>
    <row r="28" spans="1:17" ht="15.75" thickTop="1">
      <c r="A28" s="575" t="s">
        <v>1552</v>
      </c>
      <c r="B28" s="1170">
        <f>+B14*C27</f>
        <v>10528391.457577145</v>
      </c>
      <c r="C28" s="1343">
        <f>+'Sources of gathered wood'!L43</f>
        <v>63375929592.79026</v>
      </c>
      <c r="D28" s="1171">
        <f>+D14*E27</f>
        <v>1425231.3191044289</v>
      </c>
      <c r="E28" s="1172">
        <f>+'Sources of gathered wood'!L12</f>
        <v>6920825042.2403212</v>
      </c>
      <c r="F28" s="1170">
        <f>+F14*G27</f>
        <v>4261012.1025566384</v>
      </c>
      <c r="G28" s="557">
        <f>+'Sources of gathered wood'!L24</f>
        <v>27853376439.550323</v>
      </c>
      <c r="H28" s="1171">
        <f>+H14*I27</f>
        <v>4814240.2709907293</v>
      </c>
      <c r="I28" s="1173">
        <f>+'Sources of gathered wood'!L41</f>
        <v>28601728110.999615</v>
      </c>
      <c r="J28"/>
      <c r="L28" s="1703" t="s">
        <v>577</v>
      </c>
      <c r="M28" s="506" t="s">
        <v>536</v>
      </c>
      <c r="N28" s="493">
        <v>144136</v>
      </c>
      <c r="O28" s="493">
        <v>4.7</v>
      </c>
      <c r="P28" s="493">
        <v>37.700000000000003</v>
      </c>
      <c r="Q28" s="494">
        <v>37.700000000000003</v>
      </c>
    </row>
    <row r="29" spans="1:17" ht="15.75" thickBot="1">
      <c r="A29" s="576" t="s">
        <v>1553</v>
      </c>
      <c r="B29" s="1152">
        <f>+B14-B28</f>
        <v>711872.24272055924</v>
      </c>
      <c r="C29" s="537">
        <f>+C6-C28</f>
        <v>4285133708.7443542</v>
      </c>
      <c r="D29" s="1162">
        <f>+D14-D28</f>
        <v>66367.458531031618</v>
      </c>
      <c r="E29" s="1168"/>
      <c r="F29" s="1152">
        <f>+F14-F28</f>
        <v>404030.40636746306</v>
      </c>
      <c r="G29" s="487"/>
      <c r="H29" s="1162">
        <f>+H14-H28</f>
        <v>269382.14274741244</v>
      </c>
      <c r="I29" s="1169"/>
      <c r="J29"/>
      <c r="L29" s="1704"/>
      <c r="M29" s="498" t="s">
        <v>537</v>
      </c>
      <c r="N29" s="493">
        <v>238032</v>
      </c>
      <c r="O29" s="493">
        <v>7.7</v>
      </c>
      <c r="P29" s="493">
        <v>62.3</v>
      </c>
      <c r="Q29" s="494">
        <v>100</v>
      </c>
    </row>
    <row r="30" spans="1:17">
      <c r="A30" s="559"/>
      <c r="B30" s="542">
        <f>+B29+B28</f>
        <v>11240263.700297704</v>
      </c>
      <c r="C30" s="542">
        <f>+C29+C28</f>
        <v>67661063301.534615</v>
      </c>
      <c r="D30" s="1165">
        <f>+D29+D28</f>
        <v>1491598.7776354605</v>
      </c>
      <c r="E30" s="1165"/>
      <c r="F30" s="542">
        <f>+F29+F28</f>
        <v>4665042.5089241015</v>
      </c>
      <c r="G30" s="542"/>
      <c r="H30" s="1165">
        <f>+H29+H28</f>
        <v>5083622.4137381418</v>
      </c>
      <c r="I30" s="1166"/>
      <c r="J30"/>
      <c r="L30" s="1704"/>
      <c r="M30" s="498" t="s">
        <v>33</v>
      </c>
      <c r="N30" s="493">
        <v>382168</v>
      </c>
      <c r="O30" s="493">
        <v>12.4</v>
      </c>
      <c r="P30" s="493">
        <v>100</v>
      </c>
      <c r="Q30" s="494" t="s">
        <v>104</v>
      </c>
    </row>
    <row r="31" spans="1:17" ht="15.75" thickBot="1">
      <c r="A31" s="559"/>
      <c r="B31" s="1690"/>
      <c r="C31" s="1690"/>
      <c r="D31" s="1165"/>
      <c r="E31" s="1165"/>
      <c r="F31" s="542"/>
      <c r="G31" s="542"/>
      <c r="H31" s="1165"/>
      <c r="I31" s="1166"/>
      <c r="J31"/>
      <c r="L31" s="496" t="s">
        <v>590</v>
      </c>
      <c r="M31" s="506" t="s">
        <v>591</v>
      </c>
      <c r="N31" s="493">
        <v>2690357</v>
      </c>
      <c r="O31" s="493">
        <v>87.6</v>
      </c>
      <c r="P31" s="493" t="s">
        <v>104</v>
      </c>
      <c r="Q31" s="494" t="s">
        <v>104</v>
      </c>
    </row>
    <row r="32" spans="1:17" ht="45.75" thickBot="1">
      <c r="A32" s="1174" t="s">
        <v>1554</v>
      </c>
      <c r="B32" s="557"/>
      <c r="C32" s="557">
        <f>+'Sources of gathered wood'!M43</f>
        <v>0.33176925318437345</v>
      </c>
      <c r="D32" s="1172"/>
      <c r="E32" s="1172">
        <f>+'Sources of gathered wood'!M12</f>
        <v>0.18600370989293205</v>
      </c>
      <c r="F32" s="557"/>
      <c r="G32" s="557">
        <f>+'Sources of gathered wood'!M24</f>
        <v>0.49010111010651347</v>
      </c>
      <c r="H32" s="1172"/>
      <c r="I32" s="1173">
        <f>+'Sources of gathered wood'!M41</f>
        <v>0.21285129907620279</v>
      </c>
      <c r="J32"/>
      <c r="L32" s="1701" t="s">
        <v>33</v>
      </c>
      <c r="M32" s="1702"/>
      <c r="N32" s="504">
        <v>3072525</v>
      </c>
      <c r="O32" s="504">
        <v>100</v>
      </c>
      <c r="P32" s="504" t="s">
        <v>104</v>
      </c>
      <c r="Q32" s="505" t="s">
        <v>104</v>
      </c>
    </row>
    <row r="33" spans="1:25" ht="31.5" thickTop="1" thickBot="1">
      <c r="A33" s="1167" t="s">
        <v>1555</v>
      </c>
      <c r="B33" s="487">
        <f>+D33+F33+H33</f>
        <v>3378142.3701946656</v>
      </c>
      <c r="C33" s="487">
        <f>+'Sources of gathered wood'!F43</f>
        <v>21026184830.865459</v>
      </c>
      <c r="D33" s="1168">
        <f>+E32*D28</f>
        <v>265098.31280902104</v>
      </c>
      <c r="E33" s="1168">
        <f>+'Sources of gathered wood'!F12</f>
        <v>1287299133.3766079</v>
      </c>
      <c r="F33" s="487">
        <f>+G32*F28</f>
        <v>2088326.7616402975</v>
      </c>
      <c r="G33" s="487">
        <f>+'Sources of gathered wood'!F24</f>
        <v>13650970713.238222</v>
      </c>
      <c r="H33" s="1168">
        <f>+I32*H28</f>
        <v>1024717.2957453473</v>
      </c>
      <c r="I33" s="1169">
        <f>+'Sources of gathered wood'!F41</f>
        <v>6087914984.2506161</v>
      </c>
      <c r="J33"/>
    </row>
    <row r="34" spans="1:25" ht="15.75" thickBot="1"/>
    <row r="35" spans="1:25" ht="44.1" customHeight="1" thickBot="1">
      <c r="G35" s="579"/>
      <c r="H35" s="579"/>
      <c r="L35" s="554" t="s">
        <v>1100</v>
      </c>
      <c r="M35" s="1705" t="s">
        <v>592</v>
      </c>
      <c r="N35" s="1706"/>
      <c r="O35" s="1706"/>
      <c r="P35" s="1706"/>
      <c r="Q35" s="1707"/>
    </row>
    <row r="36" spans="1:25" ht="24.75" thickBot="1">
      <c r="L36" s="508" t="s">
        <v>104</v>
      </c>
      <c r="M36" s="552" t="s">
        <v>593</v>
      </c>
      <c r="N36" s="552" t="s">
        <v>594</v>
      </c>
      <c r="O36" s="552" t="s">
        <v>595</v>
      </c>
      <c r="P36" s="552" t="s">
        <v>596</v>
      </c>
      <c r="Q36" s="553" t="s">
        <v>597</v>
      </c>
    </row>
    <row r="37" spans="1:25" ht="36.75" customHeight="1" thickTop="1">
      <c r="L37" s="739" t="s">
        <v>1290</v>
      </c>
      <c r="M37" s="493">
        <v>2831916</v>
      </c>
      <c r="N37" s="493">
        <v>0</v>
      </c>
      <c r="O37" s="493">
        <v>10000</v>
      </c>
      <c r="P37" s="493">
        <v>458.61</v>
      </c>
      <c r="Q37" s="494">
        <v>485.709</v>
      </c>
    </row>
    <row r="38" spans="1:25" ht="15.75" thickBot="1">
      <c r="B38" s="578"/>
      <c r="C38" s="578"/>
      <c r="D38" s="578"/>
      <c r="E38" s="578"/>
      <c r="F38" s="578"/>
      <c r="L38" s="508" t="s">
        <v>598</v>
      </c>
      <c r="M38" s="504">
        <v>2831916</v>
      </c>
      <c r="N38" s="504" t="s">
        <v>104</v>
      </c>
      <c r="O38" s="504" t="s">
        <v>104</v>
      </c>
      <c r="P38" s="504" t="s">
        <v>104</v>
      </c>
      <c r="Q38" s="505" t="s">
        <v>104</v>
      </c>
    </row>
    <row r="39" spans="1:25" ht="15.75" thickTop="1">
      <c r="A39" s="578"/>
      <c r="B39" s="578"/>
      <c r="C39" s="578"/>
      <c r="D39" s="578"/>
      <c r="E39" s="578"/>
      <c r="F39" s="578"/>
      <c r="L39" s="509" t="s">
        <v>1101</v>
      </c>
      <c r="M39" s="510"/>
      <c r="N39" s="510"/>
      <c r="O39" s="510"/>
    </row>
    <row r="40" spans="1:25" ht="18.75">
      <c r="A40" s="484" t="s">
        <v>1028</v>
      </c>
    </row>
    <row r="41" spans="1:25">
      <c r="B41" s="993" t="s">
        <v>22</v>
      </c>
      <c r="C41" s="993"/>
      <c r="D41" s="993" t="s">
        <v>654</v>
      </c>
      <c r="E41" s="993"/>
      <c r="F41" s="993" t="s">
        <v>655</v>
      </c>
      <c r="G41" s="993"/>
      <c r="H41" s="993" t="s">
        <v>656</v>
      </c>
      <c r="S41"/>
      <c r="T41"/>
      <c r="U41"/>
      <c r="V41"/>
      <c r="W41"/>
      <c r="X41"/>
      <c r="Y41"/>
    </row>
    <row r="42" spans="1:25">
      <c r="B42" s="488" t="s">
        <v>1031</v>
      </c>
      <c r="C42" s="488" t="s">
        <v>668</v>
      </c>
      <c r="D42" s="488" t="s">
        <v>1031</v>
      </c>
      <c r="E42" s="488" t="s">
        <v>668</v>
      </c>
      <c r="F42" s="488" t="s">
        <v>1031</v>
      </c>
      <c r="G42" s="488" t="s">
        <v>668</v>
      </c>
      <c r="H42" s="488" t="s">
        <v>1031</v>
      </c>
      <c r="I42" s="488" t="s">
        <v>668</v>
      </c>
      <c r="L42" s="483" t="s">
        <v>1141</v>
      </c>
      <c r="R42" s="522" t="s">
        <v>1143</v>
      </c>
      <c r="S42" s="522"/>
      <c r="T42" s="522"/>
      <c r="U42"/>
      <c r="V42"/>
      <c r="W42"/>
      <c r="X42"/>
      <c r="Y42"/>
    </row>
    <row r="43" spans="1:25" ht="15" customHeight="1">
      <c r="A43" s="501" t="s">
        <v>1029</v>
      </c>
      <c r="B43" s="514">
        <f>+N14</f>
        <v>272406</v>
      </c>
      <c r="C43" s="514"/>
      <c r="D43" s="514">
        <f>+'Fuelwood IHS tables'!H14</f>
        <v>13614</v>
      </c>
      <c r="E43" s="514"/>
      <c r="F43" s="514">
        <f>+'Fuelwood IHS tables'!H25</f>
        <v>94192</v>
      </c>
      <c r="G43" s="514"/>
      <c r="H43" s="514">
        <f>+'Fuelwood IHS tables'!H41</f>
        <v>164600</v>
      </c>
      <c r="I43" s="514"/>
      <c r="M43" s="483" t="s">
        <v>1083</v>
      </c>
      <c r="N43" s="483" t="s">
        <v>1084</v>
      </c>
      <c r="R43" s="1684" t="s">
        <v>1142</v>
      </c>
      <c r="S43" s="1684"/>
      <c r="T43" s="1684"/>
      <c r="U43"/>
      <c r="V43" t="s">
        <v>1144</v>
      </c>
      <c r="W43"/>
      <c r="X43"/>
      <c r="Y43"/>
    </row>
    <row r="44" spans="1:25">
      <c r="A44" s="501" t="s">
        <v>1030</v>
      </c>
      <c r="B44" s="514"/>
      <c r="C44" s="514"/>
      <c r="D44" s="514"/>
      <c r="E44" s="514"/>
      <c r="F44" s="514"/>
      <c r="G44" s="514"/>
      <c r="H44" s="514"/>
      <c r="I44" s="514"/>
      <c r="L44" s="483" t="s">
        <v>22</v>
      </c>
      <c r="M44" s="483">
        <f>P37</f>
        <v>458.61</v>
      </c>
      <c r="N44" s="511">
        <f>+M44*52</f>
        <v>23847.72</v>
      </c>
      <c r="O44" s="511" t="s">
        <v>1085</v>
      </c>
      <c r="R44" s="1684"/>
      <c r="S44" s="1684"/>
      <c r="T44" s="1684"/>
      <c r="U44"/>
      <c r="W44"/>
      <c r="X44"/>
      <c r="Y44"/>
    </row>
    <row r="45" spans="1:25">
      <c r="A45" s="483" t="s">
        <v>33</v>
      </c>
      <c r="B45" s="514">
        <f t="shared" ref="B45:I45" si="1">+B44+B43</f>
        <v>272406</v>
      </c>
      <c r="C45" s="514">
        <f t="shared" si="1"/>
        <v>0</v>
      </c>
      <c r="D45" s="514">
        <f t="shared" si="1"/>
        <v>13614</v>
      </c>
      <c r="E45" s="514">
        <f t="shared" si="1"/>
        <v>0</v>
      </c>
      <c r="F45" s="514">
        <f t="shared" si="1"/>
        <v>94192</v>
      </c>
      <c r="G45" s="514">
        <f t="shared" si="1"/>
        <v>0</v>
      </c>
      <c r="H45" s="514">
        <f t="shared" si="1"/>
        <v>164600</v>
      </c>
      <c r="I45" s="514">
        <f t="shared" si="1"/>
        <v>0</v>
      </c>
      <c r="L45" s="483" t="s">
        <v>654</v>
      </c>
      <c r="M45" s="483">
        <f>'Fuelwood IHS tables'!I170</f>
        <v>368.54402189424718</v>
      </c>
      <c r="N45" s="512">
        <f>+M45*52</f>
        <v>19164.289138500855</v>
      </c>
      <c r="O45" s="512" t="s">
        <v>1086</v>
      </c>
      <c r="R45" t="s">
        <v>593</v>
      </c>
      <c r="S45" t="s">
        <v>577</v>
      </c>
      <c r="T45" s="514">
        <v>2689679.1688494682</v>
      </c>
      <c r="U45"/>
      <c r="V45" t="s">
        <v>593</v>
      </c>
      <c r="W45" t="s">
        <v>577</v>
      </c>
      <c r="X45" s="514">
        <v>142236.91311597824</v>
      </c>
      <c r="Y45"/>
    </row>
    <row r="46" spans="1:25">
      <c r="L46" s="483" t="s">
        <v>655</v>
      </c>
      <c r="M46" s="483">
        <f>'Fuelwood IHS tables'!T170</f>
        <v>496.11452099018288</v>
      </c>
      <c r="N46" s="483">
        <f>+M46*52</f>
        <v>25797.955091489508</v>
      </c>
      <c r="O46" s="483" t="s">
        <v>1087</v>
      </c>
      <c r="R46"/>
      <c r="S46" t="s">
        <v>590</v>
      </c>
      <c r="T46" s="514">
        <v>3763.0279316902161</v>
      </c>
      <c r="U46"/>
      <c r="V46"/>
      <c r="W46" t="s">
        <v>590</v>
      </c>
      <c r="X46" s="514">
        <v>236845.84208726883</v>
      </c>
      <c r="Y46"/>
    </row>
    <row r="47" spans="1:25">
      <c r="A47" s="495" t="s">
        <v>1044</v>
      </c>
      <c r="B47" s="993" t="s">
        <v>22</v>
      </c>
      <c r="C47" s="993"/>
      <c r="D47" s="993" t="s">
        <v>654</v>
      </c>
      <c r="E47" s="993"/>
      <c r="F47" s="993" t="s">
        <v>655</v>
      </c>
      <c r="G47" s="993"/>
      <c r="H47" s="993" t="s">
        <v>656</v>
      </c>
      <c r="L47" s="483" t="s">
        <v>656</v>
      </c>
      <c r="M47" s="483">
        <f>'Fuelwood IHS tables'!AJ170</f>
        <v>450.9011783805052</v>
      </c>
      <c r="N47" s="483">
        <f>+M47*52</f>
        <v>23446.861275786272</v>
      </c>
      <c r="O47" s="483" t="s">
        <v>1088</v>
      </c>
      <c r="R47" t="s">
        <v>596</v>
      </c>
      <c r="T47" s="483">
        <v>463.86646278481999</v>
      </c>
      <c r="V47" t="s">
        <v>596</v>
      </c>
      <c r="W47"/>
      <c r="X47" s="483">
        <v>359.22240803275997</v>
      </c>
    </row>
    <row r="48" spans="1:25">
      <c r="A48" s="501" t="s">
        <v>1029</v>
      </c>
      <c r="B48" s="514">
        <f>+B43*'Charcoal quantity'!$D$27</f>
        <v>364950163.71721721</v>
      </c>
      <c r="C48" s="514"/>
      <c r="D48" s="514">
        <f>+D43*'Charcoal quantity'!$D$27</f>
        <v>18239067.894415669</v>
      </c>
      <c r="E48" s="514"/>
      <c r="F48" s="514">
        <f>+F43*'Charcoal quantity'!$D$27</f>
        <v>126191735.20719853</v>
      </c>
      <c r="G48" s="514"/>
      <c r="H48" s="514">
        <f>+H43*'Charcoal quantity'!$D$27</f>
        <v>220519360.615603</v>
      </c>
      <c r="I48" s="488"/>
      <c r="R48" t="s">
        <v>1137</v>
      </c>
      <c r="S48"/>
      <c r="T48" s="514">
        <v>1247651962.0802174</v>
      </c>
      <c r="U48"/>
      <c r="V48" t="s">
        <v>1137</v>
      </c>
      <c r="W48"/>
      <c r="X48" s="514">
        <v>51094686.440668106</v>
      </c>
      <c r="Y48"/>
    </row>
    <row r="49" spans="1:25">
      <c r="A49" s="501" t="s">
        <v>1030</v>
      </c>
      <c r="B49" s="514"/>
      <c r="C49" s="514"/>
      <c r="D49" s="514"/>
      <c r="E49" s="514"/>
      <c r="F49" s="514"/>
      <c r="G49" s="514"/>
      <c r="H49" s="514"/>
      <c r="I49" s="514"/>
      <c r="J49" s="514"/>
      <c r="L49" s="483" t="s">
        <v>1149</v>
      </c>
      <c r="R49"/>
      <c r="S49"/>
      <c r="T49"/>
      <c r="U49"/>
      <c r="Y49"/>
    </row>
    <row r="50" spans="1:25">
      <c r="A50" s="483" t="s">
        <v>33</v>
      </c>
      <c r="B50" s="514">
        <f>+B49+B48</f>
        <v>364950163.71721721</v>
      </c>
      <c r="C50" s="514"/>
      <c r="D50" s="514">
        <f>+D49+D48</f>
        <v>18239067.894415669</v>
      </c>
      <c r="E50" s="514"/>
      <c r="F50" s="514">
        <f>+F49+F48</f>
        <v>126191735.20719853</v>
      </c>
      <c r="G50" s="514"/>
      <c r="H50" s="514">
        <f>+H49+H48</f>
        <v>220519360.615603</v>
      </c>
      <c r="I50" s="514"/>
      <c r="J50" s="514"/>
      <c r="L50" s="483">
        <f>+hh_wood_exp_Mmainfuel/hh_wood_exp_M</f>
        <v>1.011461727360546</v>
      </c>
      <c r="R50" t="s">
        <v>1147</v>
      </c>
      <c r="S50"/>
      <c r="T50" s="524">
        <f>+T47*52</f>
        <v>24121.05606481064</v>
      </c>
      <c r="U50" s="523" t="s">
        <v>1145</v>
      </c>
      <c r="V50" t="s">
        <v>1147</v>
      </c>
      <c r="X50" s="524">
        <f>+X47*52</f>
        <v>18679.565217703519</v>
      </c>
      <c r="Y50" s="523" t="s">
        <v>1146</v>
      </c>
    </row>
    <row r="51" spans="1:25">
      <c r="I51" s="514"/>
      <c r="J51" s="514"/>
      <c r="L51" s="483" t="s">
        <v>1148</v>
      </c>
      <c r="R51"/>
      <c r="S51"/>
      <c r="T51"/>
      <c r="U51"/>
      <c r="V51"/>
      <c r="W51"/>
      <c r="X51"/>
      <c r="Y51"/>
    </row>
    <row r="52" spans="1:25">
      <c r="B52" s="514"/>
      <c r="C52" s="514"/>
      <c r="D52" s="514"/>
      <c r="E52" s="514"/>
      <c r="F52" s="514"/>
      <c r="G52" s="514"/>
      <c r="H52" s="514"/>
      <c r="I52" s="514"/>
      <c r="J52" s="514"/>
      <c r="L52" s="483">
        <f>+hh_wood_exp_Mnotmain/hh_wood_exp_M</f>
        <v>0.78328516175565288</v>
      </c>
      <c r="U52"/>
      <c r="V52"/>
      <c r="W52"/>
      <c r="X52"/>
      <c r="Y52"/>
    </row>
    <row r="53" spans="1:25" ht="30">
      <c r="A53" s="507" t="s">
        <v>1046</v>
      </c>
      <c r="B53" s="993" t="s">
        <v>22</v>
      </c>
      <c r="C53" s="993"/>
      <c r="D53" s="993" t="s">
        <v>654</v>
      </c>
      <c r="E53" s="993"/>
      <c r="F53" s="993" t="s">
        <v>655</v>
      </c>
      <c r="G53" s="993"/>
      <c r="H53" s="993" t="s">
        <v>656</v>
      </c>
      <c r="I53" s="514"/>
      <c r="J53" s="514"/>
      <c r="R53" s="525" t="s">
        <v>1153</v>
      </c>
      <c r="S53" s="514"/>
      <c r="T53" s="514"/>
      <c r="U53"/>
      <c r="V53"/>
      <c r="W53"/>
      <c r="X53"/>
      <c r="Y53"/>
    </row>
    <row r="54" spans="1:25">
      <c r="A54" s="501" t="s">
        <v>1029</v>
      </c>
      <c r="B54" s="514">
        <f>+B43*'Charcoal quantity'!$D$29</f>
        <v>2434217.5919938385</v>
      </c>
      <c r="C54" s="514"/>
      <c r="D54" s="514">
        <f>+D43*'Charcoal quantity'!$D$29</f>
        <v>121654.58285575249</v>
      </c>
      <c r="E54" s="514"/>
      <c r="F54" s="514">
        <f>+F43*'Charcoal quantity'!$D$29</f>
        <v>841698.87383201404</v>
      </c>
      <c r="G54" s="514"/>
      <c r="H54" s="514">
        <f>+H43*'Charcoal quantity'!$D$29</f>
        <v>1470864.1353060717</v>
      </c>
      <c r="I54" s="954" t="s">
        <v>668</v>
      </c>
      <c r="J54" s="514"/>
      <c r="L54" s="483" t="s">
        <v>1150</v>
      </c>
      <c r="R54" s="514"/>
      <c r="S54" s="514"/>
      <c r="T54" s="514"/>
      <c r="U54"/>
      <c r="V54"/>
      <c r="W54"/>
      <c r="X54"/>
      <c r="Y54"/>
    </row>
    <row r="55" spans="1:25" ht="14.25" customHeight="1">
      <c r="A55" s="501" t="s">
        <v>1030</v>
      </c>
      <c r="B55" s="514"/>
      <c r="C55" s="514"/>
      <c r="D55" s="514"/>
      <c r="E55" s="514"/>
      <c r="F55" s="514"/>
      <c r="G55" s="514"/>
      <c r="H55" s="514"/>
      <c r="I55" s="514"/>
      <c r="J55" s="514"/>
      <c r="M55" s="483" t="s">
        <v>1151</v>
      </c>
      <c r="N55" s="483" t="s">
        <v>1152</v>
      </c>
      <c r="R55" s="518" t="s">
        <v>1136</v>
      </c>
      <c r="S55" s="518"/>
      <c r="T55" s="518"/>
      <c r="U55" s="1682" t="s">
        <v>1236</v>
      </c>
      <c r="V55" s="1683"/>
      <c r="W55" s="1683"/>
      <c r="X55" s="1683"/>
      <c r="Y55"/>
    </row>
    <row r="56" spans="1:25">
      <c r="A56" s="483" t="s">
        <v>33</v>
      </c>
      <c r="B56" s="514">
        <f>+B55+B54</f>
        <v>2434217.5919938385</v>
      </c>
      <c r="C56" s="514"/>
      <c r="D56" s="514">
        <f>+D55+D54</f>
        <v>121654.58285575249</v>
      </c>
      <c r="E56" s="514"/>
      <c r="F56" s="514">
        <f>+F55+F54</f>
        <v>841698.87383201404</v>
      </c>
      <c r="G56" s="514"/>
      <c r="H56" s="514">
        <f>+H55+H54</f>
        <v>1470864.1353060717</v>
      </c>
      <c r="I56" s="514"/>
      <c r="J56" s="514"/>
      <c r="L56" s="483" t="s">
        <v>654</v>
      </c>
      <c r="M56" s="483">
        <f>+hh_wood_exp_N*L50</f>
        <v>19383.944995665024</v>
      </c>
      <c r="N56" s="483">
        <f>+hh_wood_exp_N*L52</f>
        <v>15011.103317782745</v>
      </c>
      <c r="R56" s="518" t="s">
        <v>1291</v>
      </c>
      <c r="S56" s="518"/>
      <c r="T56" s="518"/>
      <c r="U56" s="1682"/>
      <c r="V56" s="1683"/>
      <c r="W56" s="1683"/>
      <c r="X56" s="1683"/>
      <c r="Y56"/>
    </row>
    <row r="57" spans="1:25">
      <c r="L57" s="483" t="s">
        <v>655</v>
      </c>
      <c r="M57" s="483">
        <f>+N46*L50</f>
        <v>26093.64421920777</v>
      </c>
      <c r="N57" s="483">
        <f>+N46*L52</f>
        <v>20207.155426802427</v>
      </c>
      <c r="R57" s="518" t="s">
        <v>593</v>
      </c>
      <c r="S57" s="518" t="s">
        <v>577</v>
      </c>
      <c r="T57" s="518">
        <v>2831916.0819654465</v>
      </c>
      <c r="U57" s="1682"/>
      <c r="V57" s="1683"/>
      <c r="W57" s="1683"/>
      <c r="X57" s="1683"/>
      <c r="Y57"/>
    </row>
    <row r="58" spans="1:25">
      <c r="L58" s="483" t="s">
        <v>656</v>
      </c>
      <c r="M58" s="483">
        <f>+N47*L50</f>
        <v>23715.602807189876</v>
      </c>
      <c r="N58" s="483">
        <f>+N47*L52</f>
        <v>18365.578527066602</v>
      </c>
      <c r="R58" s="518"/>
      <c r="S58" s="518" t="s">
        <v>590</v>
      </c>
      <c r="T58" s="518">
        <v>240608.87001895905</v>
      </c>
      <c r="U58" s="1682"/>
      <c r="V58" s="1683"/>
      <c r="W58" s="1683"/>
      <c r="X58" s="1683"/>
      <c r="Y58"/>
    </row>
    <row r="59" spans="1:25" ht="15.75">
      <c r="R59" s="518" t="s">
        <v>596</v>
      </c>
      <c r="S59" s="518"/>
      <c r="T59" s="740">
        <v>430.36864141064575</v>
      </c>
      <c r="U59" s="1682"/>
      <c r="V59" s="1683"/>
      <c r="W59" s="1683"/>
      <c r="X59" s="1683"/>
      <c r="Y59"/>
    </row>
    <row r="60" spans="1:25" ht="15.75">
      <c r="R60" s="518" t="s">
        <v>1137</v>
      </c>
      <c r="S60" s="518"/>
      <c r="T60" s="741">
        <v>1218767876.7844281</v>
      </c>
      <c r="U60" s="1682"/>
      <c r="V60" s="1683"/>
      <c r="W60" s="1683"/>
      <c r="X60" s="1683"/>
    </row>
    <row r="61" spans="1:25">
      <c r="R61" s="514"/>
      <c r="S61" s="514"/>
      <c r="T61" s="514"/>
    </row>
    <row r="62" spans="1:25">
      <c r="L62" s="483" t="s">
        <v>1154</v>
      </c>
      <c r="N62" s="483">
        <f>+T59/M44</f>
        <v>0.93841966248151099</v>
      </c>
    </row>
    <row r="65" spans="1:1">
      <c r="A65" s="495"/>
    </row>
    <row r="69" spans="1:1">
      <c r="A69" s="513"/>
    </row>
    <row r="72" spans="1:1">
      <c r="A72" s="513"/>
    </row>
    <row r="73" spans="1:1">
      <c r="A73" s="513"/>
    </row>
    <row r="129" spans="27:54">
      <c r="AA129" s="495"/>
      <c r="AL129" s="495"/>
      <c r="BB129" s="495"/>
    </row>
  </sheetData>
  <mergeCells count="20">
    <mergeCell ref="A1:B1"/>
    <mergeCell ref="L27:M27"/>
    <mergeCell ref="L28:L30"/>
    <mergeCell ref="L32:M32"/>
    <mergeCell ref="M35:Q35"/>
    <mergeCell ref="L7:Q7"/>
    <mergeCell ref="U55:X60"/>
    <mergeCell ref="R43:T44"/>
    <mergeCell ref="B2:C2"/>
    <mergeCell ref="D2:E2"/>
    <mergeCell ref="F2:G2"/>
    <mergeCell ref="H2:I2"/>
    <mergeCell ref="A7:I7"/>
    <mergeCell ref="A18:F18"/>
    <mergeCell ref="B31:C31"/>
    <mergeCell ref="B25:C25"/>
    <mergeCell ref="H25:I25"/>
    <mergeCell ref="F25:G25"/>
    <mergeCell ref="D25:E25"/>
    <mergeCell ref="A15:F16"/>
  </mergeCells>
  <pageMargins left="0.75" right="0.75" top="1" bottom="1" header="0.5" footer="0.5"/>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0400A"/>
  </sheetPr>
  <dimension ref="A1:AK223"/>
  <sheetViews>
    <sheetView zoomScale="125" zoomScaleNormal="125" zoomScalePageLayoutView="125" workbookViewId="0">
      <selection sqref="A1:F1"/>
    </sheetView>
  </sheetViews>
  <sheetFormatPr defaultColWidth="11.42578125" defaultRowHeight="15"/>
  <cols>
    <col min="3" max="3" width="15.85546875" bestFit="1" customWidth="1"/>
    <col min="4" max="13" width="11.42578125" bestFit="1" customWidth="1"/>
    <col min="14" max="14" width="13.28515625" bestFit="1" customWidth="1"/>
  </cols>
  <sheetData>
    <row r="1" spans="1:14" ht="24.75">
      <c r="A1" s="1272" t="s">
        <v>1648</v>
      </c>
      <c r="B1" s="1272"/>
      <c r="C1" s="1272"/>
      <c r="D1" s="1273"/>
      <c r="E1" s="1273"/>
      <c r="F1" s="1273"/>
    </row>
    <row r="4" spans="1:14">
      <c r="A4" t="s">
        <v>1096</v>
      </c>
    </row>
    <row r="5" spans="1:14">
      <c r="A5" t="s">
        <v>1053</v>
      </c>
    </row>
    <row r="6" spans="1:14" ht="15.75" thickBot="1">
      <c r="A6" t="s">
        <v>104</v>
      </c>
      <c r="B6" t="s">
        <v>104</v>
      </c>
      <c r="C6" t="s">
        <v>599</v>
      </c>
    </row>
    <row r="7" spans="1:14" ht="30.75" thickBot="1">
      <c r="A7" s="981" t="s">
        <v>1095</v>
      </c>
      <c r="B7" s="981" t="s">
        <v>1054</v>
      </c>
      <c r="C7" s="991" t="s">
        <v>578</v>
      </c>
      <c r="D7" s="992" t="s">
        <v>579</v>
      </c>
      <c r="E7" s="986" t="s">
        <v>580</v>
      </c>
      <c r="F7" s="986" t="s">
        <v>581</v>
      </c>
      <c r="G7" s="986" t="s">
        <v>582</v>
      </c>
      <c r="H7" s="992" t="s">
        <v>583</v>
      </c>
      <c r="I7" s="986" t="s">
        <v>584</v>
      </c>
      <c r="J7" s="986" t="s">
        <v>585</v>
      </c>
      <c r="K7" s="986" t="s">
        <v>586</v>
      </c>
      <c r="L7" s="986" t="s">
        <v>587</v>
      </c>
      <c r="M7" s="981">
        <v>14</v>
      </c>
      <c r="N7" s="987" t="s">
        <v>33</v>
      </c>
    </row>
    <row r="8" spans="1:14">
      <c r="B8" t="s">
        <v>1055</v>
      </c>
      <c r="C8" s="984">
        <v>36230</v>
      </c>
      <c r="D8" s="540">
        <v>2168</v>
      </c>
      <c r="E8" s="514">
        <v>0</v>
      </c>
      <c r="F8" s="514">
        <v>59</v>
      </c>
      <c r="G8" s="514">
        <v>0</v>
      </c>
      <c r="H8" s="540">
        <v>743</v>
      </c>
      <c r="I8" s="514">
        <v>52</v>
      </c>
      <c r="J8" s="514">
        <v>0</v>
      </c>
      <c r="K8" s="514">
        <v>0</v>
      </c>
      <c r="L8" s="514">
        <v>0</v>
      </c>
      <c r="M8" s="514">
        <v>0</v>
      </c>
      <c r="N8" s="514">
        <v>39252</v>
      </c>
    </row>
    <row r="9" spans="1:14">
      <c r="B9" t="s">
        <v>1056</v>
      </c>
      <c r="C9" s="984">
        <v>50720</v>
      </c>
      <c r="D9" s="540">
        <v>5649</v>
      </c>
      <c r="E9" s="514">
        <v>0</v>
      </c>
      <c r="F9" s="514">
        <v>248</v>
      </c>
      <c r="G9" s="514">
        <v>0</v>
      </c>
      <c r="H9" s="540">
        <v>1851</v>
      </c>
      <c r="I9" s="514">
        <v>0</v>
      </c>
      <c r="J9" s="514">
        <v>0</v>
      </c>
      <c r="K9" s="514">
        <v>144</v>
      </c>
      <c r="L9" s="514">
        <v>0</v>
      </c>
      <c r="M9" s="514">
        <v>0</v>
      </c>
      <c r="N9" s="514">
        <v>58612</v>
      </c>
    </row>
    <row r="10" spans="1:14">
      <c r="B10" t="s">
        <v>1057</v>
      </c>
      <c r="C10" s="984">
        <v>43644</v>
      </c>
      <c r="D10" s="540">
        <v>1911</v>
      </c>
      <c r="E10" s="514">
        <v>0</v>
      </c>
      <c r="F10" s="514">
        <v>0</v>
      </c>
      <c r="G10" s="514">
        <v>0</v>
      </c>
      <c r="H10" s="540">
        <v>595</v>
      </c>
      <c r="I10" s="514">
        <v>0</v>
      </c>
      <c r="J10" s="514">
        <v>0</v>
      </c>
      <c r="K10" s="514">
        <v>0</v>
      </c>
      <c r="L10" s="514">
        <v>0</v>
      </c>
      <c r="M10" s="514">
        <v>0</v>
      </c>
      <c r="N10" s="514">
        <v>46150</v>
      </c>
    </row>
    <row r="11" spans="1:14">
      <c r="B11" t="s">
        <v>1058</v>
      </c>
      <c r="C11" s="984">
        <v>32532</v>
      </c>
      <c r="D11" s="540">
        <v>2921</v>
      </c>
      <c r="E11" s="514">
        <v>0</v>
      </c>
      <c r="F11" s="514">
        <v>108</v>
      </c>
      <c r="G11" s="514">
        <v>0</v>
      </c>
      <c r="H11" s="540">
        <v>1880</v>
      </c>
      <c r="I11" s="514">
        <v>0</v>
      </c>
      <c r="J11" s="514">
        <v>0</v>
      </c>
      <c r="K11" s="514">
        <v>0</v>
      </c>
      <c r="L11" s="514">
        <v>0</v>
      </c>
      <c r="M11" s="514">
        <v>0</v>
      </c>
      <c r="N11" s="514">
        <v>37441</v>
      </c>
    </row>
    <row r="12" spans="1:14">
      <c r="B12" t="s">
        <v>1059</v>
      </c>
      <c r="C12" s="984">
        <v>163592</v>
      </c>
      <c r="D12" s="540">
        <v>7207</v>
      </c>
      <c r="E12" s="514">
        <v>157</v>
      </c>
      <c r="F12" s="514">
        <v>314</v>
      </c>
      <c r="G12" s="514">
        <v>0</v>
      </c>
      <c r="H12" s="540">
        <v>0</v>
      </c>
      <c r="I12" s="514">
        <v>0</v>
      </c>
      <c r="J12" s="514">
        <v>0</v>
      </c>
      <c r="K12" s="514">
        <v>0</v>
      </c>
      <c r="L12" s="514">
        <v>0</v>
      </c>
      <c r="M12" s="514">
        <v>0</v>
      </c>
      <c r="N12" s="514">
        <v>171270</v>
      </c>
    </row>
    <row r="13" spans="1:14" ht="15.75" thickBot="1">
      <c r="B13" t="s">
        <v>697</v>
      </c>
      <c r="C13" s="984">
        <v>5951</v>
      </c>
      <c r="D13" s="540">
        <v>16914</v>
      </c>
      <c r="E13" s="514">
        <v>46</v>
      </c>
      <c r="F13" s="514">
        <v>3465</v>
      </c>
      <c r="G13" s="514">
        <v>0</v>
      </c>
      <c r="H13" s="540">
        <v>8545</v>
      </c>
      <c r="I13" s="514">
        <v>0</v>
      </c>
      <c r="J13" s="514">
        <v>0</v>
      </c>
      <c r="K13" s="514">
        <v>0</v>
      </c>
      <c r="L13" s="514">
        <v>0</v>
      </c>
      <c r="M13" s="514">
        <v>0</v>
      </c>
      <c r="N13" s="514">
        <v>34921</v>
      </c>
    </row>
    <row r="14" spans="1:14" ht="15.75" thickBot="1">
      <c r="A14" s="980" t="s">
        <v>654</v>
      </c>
      <c r="B14" s="980"/>
      <c r="C14" s="988">
        <f>SUM(C8:C13)</f>
        <v>332669</v>
      </c>
      <c r="D14" s="989">
        <f>SUM(D8:D13)</f>
        <v>36770</v>
      </c>
      <c r="E14" s="982">
        <f t="shared" ref="E14:M14" si="0">SUM(E8:E13)</f>
        <v>203</v>
      </c>
      <c r="F14" s="982">
        <f t="shared" si="0"/>
        <v>4194</v>
      </c>
      <c r="G14" s="982">
        <f t="shared" si="0"/>
        <v>0</v>
      </c>
      <c r="H14" s="989">
        <f t="shared" si="0"/>
        <v>13614</v>
      </c>
      <c r="I14" s="982">
        <f t="shared" si="0"/>
        <v>52</v>
      </c>
      <c r="J14" s="982">
        <f t="shared" si="0"/>
        <v>0</v>
      </c>
      <c r="K14" s="982">
        <f t="shared" si="0"/>
        <v>144</v>
      </c>
      <c r="L14" s="982">
        <f t="shared" si="0"/>
        <v>0</v>
      </c>
      <c r="M14" s="982">
        <f t="shared" si="0"/>
        <v>0</v>
      </c>
      <c r="N14" s="982">
        <f>SUM(N8:N13)</f>
        <v>387646</v>
      </c>
    </row>
    <row r="15" spans="1:14">
      <c r="B15" t="s">
        <v>1061</v>
      </c>
      <c r="C15" s="984">
        <v>110947</v>
      </c>
      <c r="D15" s="540">
        <v>22232</v>
      </c>
      <c r="E15" s="514">
        <v>342</v>
      </c>
      <c r="F15" s="514">
        <v>0</v>
      </c>
      <c r="G15" s="514">
        <v>0</v>
      </c>
      <c r="H15" s="540">
        <v>4587</v>
      </c>
      <c r="I15" s="514">
        <v>0</v>
      </c>
      <c r="J15" s="514">
        <v>0</v>
      </c>
      <c r="K15" s="514">
        <v>0</v>
      </c>
      <c r="L15" s="514">
        <v>0</v>
      </c>
      <c r="M15" s="514">
        <v>0</v>
      </c>
      <c r="N15" s="514">
        <v>138108</v>
      </c>
    </row>
    <row r="16" spans="1:14">
      <c r="B16" t="s">
        <v>1062</v>
      </c>
      <c r="C16" s="984">
        <v>53046</v>
      </c>
      <c r="D16" s="540">
        <v>9545</v>
      </c>
      <c r="E16" s="514">
        <v>0</v>
      </c>
      <c r="F16" s="514">
        <v>1316</v>
      </c>
      <c r="G16" s="514">
        <v>0</v>
      </c>
      <c r="H16" s="540">
        <v>3733</v>
      </c>
      <c r="I16" s="514">
        <v>332</v>
      </c>
      <c r="J16" s="514">
        <v>0</v>
      </c>
      <c r="K16" s="514">
        <v>0</v>
      </c>
      <c r="L16" s="514">
        <v>0</v>
      </c>
      <c r="M16" s="514">
        <v>0</v>
      </c>
      <c r="N16" s="514">
        <v>67972</v>
      </c>
    </row>
    <row r="17" spans="1:14">
      <c r="B17" t="s">
        <v>1063</v>
      </c>
      <c r="C17" s="984">
        <v>45055</v>
      </c>
      <c r="D17" s="540">
        <v>3710</v>
      </c>
      <c r="E17" s="514">
        <v>0</v>
      </c>
      <c r="F17" s="514">
        <v>265</v>
      </c>
      <c r="G17" s="514">
        <v>0</v>
      </c>
      <c r="H17" s="540">
        <v>397</v>
      </c>
      <c r="I17" s="514">
        <v>0</v>
      </c>
      <c r="J17" s="514">
        <v>0</v>
      </c>
      <c r="K17" s="514">
        <v>0</v>
      </c>
      <c r="L17" s="514">
        <v>100</v>
      </c>
      <c r="M17" s="514">
        <v>0</v>
      </c>
      <c r="N17" s="514">
        <v>49527</v>
      </c>
    </row>
    <row r="18" spans="1:14">
      <c r="B18" t="s">
        <v>1064</v>
      </c>
      <c r="C18" s="984">
        <v>108613</v>
      </c>
      <c r="D18" s="540">
        <v>12297</v>
      </c>
      <c r="E18" s="514">
        <v>0</v>
      </c>
      <c r="F18" s="514">
        <v>3770</v>
      </c>
      <c r="G18" s="514">
        <v>0</v>
      </c>
      <c r="H18" s="540">
        <v>2750</v>
      </c>
      <c r="I18" s="514">
        <v>0</v>
      </c>
      <c r="J18" s="514">
        <v>0</v>
      </c>
      <c r="K18" s="514">
        <v>0</v>
      </c>
      <c r="L18" s="514">
        <v>0</v>
      </c>
      <c r="M18" s="514">
        <v>0</v>
      </c>
      <c r="N18" s="514">
        <v>127430</v>
      </c>
    </row>
    <row r="19" spans="1:14">
      <c r="B19" t="s">
        <v>121</v>
      </c>
      <c r="C19" s="984">
        <v>63752</v>
      </c>
      <c r="D19" s="540">
        <v>8871</v>
      </c>
      <c r="E19" s="514">
        <v>0</v>
      </c>
      <c r="F19" s="514">
        <v>262</v>
      </c>
      <c r="G19" s="514">
        <v>0</v>
      </c>
      <c r="H19" s="540">
        <v>2017</v>
      </c>
      <c r="I19" s="514">
        <v>355</v>
      </c>
      <c r="J19" s="514">
        <v>0</v>
      </c>
      <c r="K19" s="514">
        <v>0</v>
      </c>
      <c r="L19" s="514">
        <v>0</v>
      </c>
      <c r="M19" s="514">
        <v>823</v>
      </c>
      <c r="N19" s="514">
        <v>76080</v>
      </c>
    </row>
    <row r="20" spans="1:14">
      <c r="B20" t="s">
        <v>1065</v>
      </c>
      <c r="C20" s="984">
        <v>216116</v>
      </c>
      <c r="D20" s="540">
        <v>44433</v>
      </c>
      <c r="E20" s="514">
        <v>584</v>
      </c>
      <c r="F20" s="514">
        <v>3308</v>
      </c>
      <c r="G20" s="514">
        <v>0</v>
      </c>
      <c r="H20" s="540">
        <v>6868</v>
      </c>
      <c r="I20" s="514">
        <v>285</v>
      </c>
      <c r="J20" s="514">
        <v>0</v>
      </c>
      <c r="K20" s="514">
        <v>0</v>
      </c>
      <c r="L20" s="514">
        <v>0</v>
      </c>
      <c r="M20" s="514">
        <v>0</v>
      </c>
      <c r="N20" s="514">
        <v>271594</v>
      </c>
    </row>
    <row r="21" spans="1:14">
      <c r="B21" t="s">
        <v>1066</v>
      </c>
      <c r="C21" s="984">
        <v>81497</v>
      </c>
      <c r="D21" s="540">
        <v>16826</v>
      </c>
      <c r="E21" s="514">
        <v>0</v>
      </c>
      <c r="F21" s="514">
        <v>833</v>
      </c>
      <c r="G21" s="514">
        <v>0</v>
      </c>
      <c r="H21" s="540">
        <v>3821</v>
      </c>
      <c r="I21" s="514">
        <v>0</v>
      </c>
      <c r="J21" s="514">
        <v>0</v>
      </c>
      <c r="K21" s="514">
        <v>0</v>
      </c>
      <c r="L21" s="514">
        <v>345</v>
      </c>
      <c r="M21" s="514">
        <v>0</v>
      </c>
      <c r="N21" s="514">
        <v>103322</v>
      </c>
    </row>
    <row r="22" spans="1:14">
      <c r="B22" t="s">
        <v>118</v>
      </c>
      <c r="C22" s="984">
        <v>125521</v>
      </c>
      <c r="D22" s="540">
        <v>10055</v>
      </c>
      <c r="E22" s="514">
        <v>0</v>
      </c>
      <c r="F22" s="514">
        <v>457</v>
      </c>
      <c r="G22" s="514">
        <v>0</v>
      </c>
      <c r="H22" s="540">
        <v>572</v>
      </c>
      <c r="I22" s="514">
        <v>2535</v>
      </c>
      <c r="J22" s="514">
        <v>0</v>
      </c>
      <c r="K22" s="514">
        <v>0</v>
      </c>
      <c r="L22" s="514">
        <v>0</v>
      </c>
      <c r="M22" s="514">
        <v>0</v>
      </c>
      <c r="N22" s="514">
        <v>139140</v>
      </c>
    </row>
    <row r="23" spans="1:14">
      <c r="B23" t="s">
        <v>1067</v>
      </c>
      <c r="C23" s="984">
        <v>100873</v>
      </c>
      <c r="D23" s="540">
        <v>6123</v>
      </c>
      <c r="E23" s="514">
        <v>0</v>
      </c>
      <c r="F23" s="514">
        <v>699</v>
      </c>
      <c r="G23" s="514">
        <v>0</v>
      </c>
      <c r="H23" s="540">
        <v>3504</v>
      </c>
      <c r="I23" s="514">
        <v>0</v>
      </c>
      <c r="J23" s="514">
        <v>0</v>
      </c>
      <c r="K23" s="514">
        <v>0</v>
      </c>
      <c r="L23" s="514">
        <v>0</v>
      </c>
      <c r="M23" s="514">
        <v>0</v>
      </c>
      <c r="N23" s="514">
        <v>111199</v>
      </c>
    </row>
    <row r="24" spans="1:14" ht="15.75" thickBot="1">
      <c r="B24" t="s">
        <v>698</v>
      </c>
      <c r="C24" s="984">
        <v>26810</v>
      </c>
      <c r="D24" s="540">
        <v>54573</v>
      </c>
      <c r="E24" s="514">
        <v>0</v>
      </c>
      <c r="F24" s="514">
        <v>15475</v>
      </c>
      <c r="G24" s="514">
        <v>202</v>
      </c>
      <c r="H24" s="540">
        <v>65943</v>
      </c>
      <c r="I24" s="514">
        <v>782</v>
      </c>
      <c r="J24" s="514">
        <v>0</v>
      </c>
      <c r="K24" s="514">
        <v>0</v>
      </c>
      <c r="L24" s="514">
        <v>231</v>
      </c>
      <c r="M24" s="514">
        <v>0</v>
      </c>
      <c r="N24" s="514">
        <v>164016</v>
      </c>
    </row>
    <row r="25" spans="1:14" ht="15.75" thickBot="1">
      <c r="A25" s="980" t="s">
        <v>707</v>
      </c>
      <c r="B25" s="980"/>
      <c r="C25" s="988">
        <f>SUM(C15:C24)</f>
        <v>932230</v>
      </c>
      <c r="D25" s="989">
        <f>SUM(D15:D24)</f>
        <v>188665</v>
      </c>
      <c r="E25" s="982">
        <f t="shared" ref="E25:N25" si="1">SUM(E15:E24)</f>
        <v>926</v>
      </c>
      <c r="F25" s="982">
        <f t="shared" si="1"/>
        <v>26385</v>
      </c>
      <c r="G25" s="982">
        <f t="shared" si="1"/>
        <v>202</v>
      </c>
      <c r="H25" s="983">
        <f t="shared" si="1"/>
        <v>94192</v>
      </c>
      <c r="I25" s="982">
        <f t="shared" si="1"/>
        <v>4289</v>
      </c>
      <c r="J25" s="982">
        <f t="shared" si="1"/>
        <v>0</v>
      </c>
      <c r="K25" s="982">
        <f t="shared" si="1"/>
        <v>0</v>
      </c>
      <c r="L25" s="982">
        <f t="shared" si="1"/>
        <v>676</v>
      </c>
      <c r="M25" s="982">
        <f t="shared" si="1"/>
        <v>823</v>
      </c>
      <c r="N25" s="982">
        <f t="shared" si="1"/>
        <v>1248388</v>
      </c>
    </row>
    <row r="26" spans="1:14">
      <c r="B26" t="s">
        <v>1069</v>
      </c>
      <c r="C26" s="984">
        <v>158701</v>
      </c>
      <c r="D26" s="540">
        <v>12023</v>
      </c>
      <c r="E26" s="514">
        <v>0</v>
      </c>
      <c r="F26" s="514">
        <v>463</v>
      </c>
      <c r="G26" s="514">
        <v>0</v>
      </c>
      <c r="H26" s="540">
        <v>9718</v>
      </c>
      <c r="I26" s="514">
        <v>0</v>
      </c>
      <c r="J26" s="514">
        <v>0</v>
      </c>
      <c r="K26" s="514">
        <v>0</v>
      </c>
      <c r="L26" s="514">
        <v>0</v>
      </c>
      <c r="M26" s="514">
        <v>0</v>
      </c>
      <c r="N26" s="514">
        <v>180905</v>
      </c>
    </row>
    <row r="27" spans="1:14">
      <c r="B27" t="s">
        <v>1070</v>
      </c>
      <c r="C27" s="984">
        <v>105501</v>
      </c>
      <c r="D27" s="540">
        <v>6134</v>
      </c>
      <c r="E27" s="514">
        <v>370</v>
      </c>
      <c r="F27" s="514">
        <v>0</v>
      </c>
      <c r="G27" s="514">
        <v>0</v>
      </c>
      <c r="H27" s="540">
        <v>3700</v>
      </c>
      <c r="I27" s="514">
        <v>1039</v>
      </c>
      <c r="J27" s="514">
        <v>0</v>
      </c>
      <c r="K27" s="514">
        <v>0</v>
      </c>
      <c r="L27" s="514">
        <v>0</v>
      </c>
      <c r="M27" s="514">
        <v>0</v>
      </c>
      <c r="N27" s="514">
        <v>116744</v>
      </c>
    </row>
    <row r="28" spans="1:14">
      <c r="B28" t="s">
        <v>128</v>
      </c>
      <c r="C28" s="984">
        <v>124247</v>
      </c>
      <c r="D28" s="540">
        <v>9403</v>
      </c>
      <c r="E28" s="514">
        <v>0</v>
      </c>
      <c r="F28" s="514">
        <v>1337</v>
      </c>
      <c r="G28" s="514">
        <v>0</v>
      </c>
      <c r="H28" s="540">
        <v>3610</v>
      </c>
      <c r="I28" s="514">
        <v>1738</v>
      </c>
      <c r="J28" s="514">
        <v>395</v>
      </c>
      <c r="K28" s="514">
        <v>0</v>
      </c>
      <c r="L28" s="514">
        <v>0</v>
      </c>
      <c r="M28" s="514">
        <v>0</v>
      </c>
      <c r="N28" s="514">
        <v>140730</v>
      </c>
    </row>
    <row r="29" spans="1:14">
      <c r="B29" t="s">
        <v>1071</v>
      </c>
      <c r="C29" s="984">
        <v>48758</v>
      </c>
      <c r="D29" s="540">
        <v>7231</v>
      </c>
      <c r="E29" s="514">
        <v>0</v>
      </c>
      <c r="F29" s="514">
        <v>1499</v>
      </c>
      <c r="G29" s="514">
        <v>0</v>
      </c>
      <c r="H29" s="540">
        <v>2404</v>
      </c>
      <c r="I29" s="514">
        <v>11673</v>
      </c>
      <c r="J29" s="514">
        <v>0</v>
      </c>
      <c r="K29" s="514">
        <v>0</v>
      </c>
      <c r="L29" s="514">
        <v>0</v>
      </c>
      <c r="M29" s="514">
        <v>0</v>
      </c>
      <c r="N29" s="514">
        <v>71565</v>
      </c>
    </row>
    <row r="30" spans="1:14">
      <c r="B30" t="s">
        <v>1072</v>
      </c>
      <c r="C30" s="984">
        <v>64575</v>
      </c>
      <c r="D30" s="540">
        <v>6921</v>
      </c>
      <c r="E30" s="514">
        <v>0</v>
      </c>
      <c r="F30" s="514">
        <v>1569</v>
      </c>
      <c r="G30" s="514">
        <v>0</v>
      </c>
      <c r="H30" s="540">
        <v>9969</v>
      </c>
      <c r="I30" s="514">
        <v>4109</v>
      </c>
      <c r="J30" s="514">
        <v>0</v>
      </c>
      <c r="K30" s="514">
        <v>0</v>
      </c>
      <c r="L30" s="514">
        <v>0</v>
      </c>
      <c r="M30" s="514">
        <v>0</v>
      </c>
      <c r="N30" s="514">
        <v>87143</v>
      </c>
    </row>
    <row r="31" spans="1:14">
      <c r="B31" t="s">
        <v>123</v>
      </c>
      <c r="C31" s="984">
        <v>17655</v>
      </c>
      <c r="D31" s="540">
        <v>476</v>
      </c>
      <c r="E31" s="514">
        <v>0</v>
      </c>
      <c r="F31" s="514">
        <v>192</v>
      </c>
      <c r="G31" s="514">
        <v>0</v>
      </c>
      <c r="H31" s="540">
        <v>3130</v>
      </c>
      <c r="I31" s="514">
        <v>0</v>
      </c>
      <c r="J31" s="514">
        <v>0</v>
      </c>
      <c r="K31" s="514">
        <v>0</v>
      </c>
      <c r="L31" s="514">
        <v>0</v>
      </c>
      <c r="M31" s="514">
        <v>0</v>
      </c>
      <c r="N31" s="514">
        <v>21453</v>
      </c>
    </row>
    <row r="32" spans="1:14">
      <c r="B32" t="s">
        <v>1073</v>
      </c>
      <c r="C32" s="984">
        <v>138283</v>
      </c>
      <c r="D32" s="540">
        <v>4197</v>
      </c>
      <c r="E32" s="514">
        <v>553</v>
      </c>
      <c r="F32" s="514">
        <v>2637</v>
      </c>
      <c r="G32" s="514">
        <v>0</v>
      </c>
      <c r="H32" s="540">
        <v>3227</v>
      </c>
      <c r="I32" s="514">
        <v>439</v>
      </c>
      <c r="J32" s="514">
        <v>0</v>
      </c>
      <c r="K32" s="514">
        <v>0</v>
      </c>
      <c r="L32" s="514">
        <v>0</v>
      </c>
      <c r="M32" s="514">
        <v>0</v>
      </c>
      <c r="N32" s="514">
        <v>149336</v>
      </c>
    </row>
    <row r="33" spans="1:14">
      <c r="B33" t="s">
        <v>1074</v>
      </c>
      <c r="C33" s="984">
        <v>113936</v>
      </c>
      <c r="D33" s="540">
        <v>8748</v>
      </c>
      <c r="E33" s="514">
        <v>0</v>
      </c>
      <c r="F33" s="514">
        <v>0</v>
      </c>
      <c r="G33" s="514">
        <v>364</v>
      </c>
      <c r="H33" s="540">
        <v>2778</v>
      </c>
      <c r="I33" s="514">
        <v>0</v>
      </c>
      <c r="J33" s="514">
        <v>0</v>
      </c>
      <c r="K33" s="514">
        <v>0</v>
      </c>
      <c r="L33" s="514">
        <v>0</v>
      </c>
      <c r="M33" s="514">
        <v>0</v>
      </c>
      <c r="N33" s="514">
        <v>125826</v>
      </c>
    </row>
    <row r="34" spans="1:14">
      <c r="B34" t="s">
        <v>1075</v>
      </c>
      <c r="C34" s="984">
        <v>67061</v>
      </c>
      <c r="D34" s="540">
        <v>7340</v>
      </c>
      <c r="E34" s="514">
        <v>0</v>
      </c>
      <c r="F34" s="514">
        <v>220</v>
      </c>
      <c r="G34" s="514">
        <v>0</v>
      </c>
      <c r="H34" s="540">
        <v>1532</v>
      </c>
      <c r="I34" s="514">
        <v>0</v>
      </c>
      <c r="J34" s="514">
        <v>0</v>
      </c>
      <c r="K34" s="514">
        <v>0</v>
      </c>
      <c r="L34" s="514">
        <v>0</v>
      </c>
      <c r="M34" s="514">
        <v>0</v>
      </c>
      <c r="N34" s="514">
        <v>76153</v>
      </c>
    </row>
    <row r="35" spans="1:14">
      <c r="B35" t="s">
        <v>1076</v>
      </c>
      <c r="C35" s="984">
        <v>93947</v>
      </c>
      <c r="D35" s="540">
        <v>6136</v>
      </c>
      <c r="E35" s="514">
        <v>0</v>
      </c>
      <c r="F35" s="514">
        <v>0</v>
      </c>
      <c r="G35" s="514">
        <v>0</v>
      </c>
      <c r="H35" s="540">
        <v>6225</v>
      </c>
      <c r="I35" s="514">
        <v>0</v>
      </c>
      <c r="J35" s="514">
        <v>0</v>
      </c>
      <c r="K35" s="514">
        <v>0</v>
      </c>
      <c r="L35" s="514">
        <v>0</v>
      </c>
      <c r="M35" s="514">
        <v>0</v>
      </c>
      <c r="N35" s="514">
        <v>106308</v>
      </c>
    </row>
    <row r="36" spans="1:14">
      <c r="B36" t="s">
        <v>1077</v>
      </c>
      <c r="C36" s="984">
        <v>55546</v>
      </c>
      <c r="D36" s="540">
        <v>3693</v>
      </c>
      <c r="E36" s="514">
        <v>199</v>
      </c>
      <c r="F36" s="514">
        <v>0</v>
      </c>
      <c r="G36" s="514">
        <v>0</v>
      </c>
      <c r="H36" s="540">
        <v>1101</v>
      </c>
      <c r="I36" s="514">
        <v>0</v>
      </c>
      <c r="J36" s="514">
        <v>0</v>
      </c>
      <c r="K36" s="514">
        <v>0</v>
      </c>
      <c r="L36" s="514">
        <v>159</v>
      </c>
      <c r="M36" s="514">
        <v>0</v>
      </c>
      <c r="N36" s="514">
        <v>60698</v>
      </c>
    </row>
    <row r="37" spans="1:14">
      <c r="B37" t="s">
        <v>1078</v>
      </c>
      <c r="C37" s="984">
        <v>70018</v>
      </c>
      <c r="D37" s="540">
        <v>3052</v>
      </c>
      <c r="E37" s="514">
        <v>0</v>
      </c>
      <c r="F37" s="514">
        <v>187</v>
      </c>
      <c r="G37" s="514">
        <v>0</v>
      </c>
      <c r="H37" s="540">
        <v>4503</v>
      </c>
      <c r="I37" s="514">
        <v>0</v>
      </c>
      <c r="J37" s="514">
        <v>0</v>
      </c>
      <c r="K37" s="514">
        <v>0</v>
      </c>
      <c r="L37" s="514">
        <v>0</v>
      </c>
      <c r="M37" s="514">
        <v>0</v>
      </c>
      <c r="N37" s="514">
        <v>77760</v>
      </c>
    </row>
    <row r="38" spans="1:14">
      <c r="B38" t="s">
        <v>1079</v>
      </c>
      <c r="C38" s="984">
        <v>25013</v>
      </c>
      <c r="D38" s="540">
        <v>239</v>
      </c>
      <c r="E38" s="514">
        <v>0</v>
      </c>
      <c r="F38" s="514">
        <v>64</v>
      </c>
      <c r="G38" s="514">
        <v>0</v>
      </c>
      <c r="H38" s="540">
        <v>272</v>
      </c>
      <c r="I38" s="514">
        <v>0</v>
      </c>
      <c r="J38" s="514">
        <v>0</v>
      </c>
      <c r="K38" s="514">
        <v>0</v>
      </c>
      <c r="L38" s="514">
        <v>73</v>
      </c>
      <c r="M38" s="514">
        <v>0</v>
      </c>
      <c r="N38" s="514">
        <v>25661</v>
      </c>
    </row>
    <row r="39" spans="1:14">
      <c r="B39" t="s">
        <v>701</v>
      </c>
      <c r="C39" s="984">
        <v>5096</v>
      </c>
      <c r="D39" s="540">
        <v>5498</v>
      </c>
      <c r="E39" s="514">
        <v>0</v>
      </c>
      <c r="F39" s="514">
        <v>3433</v>
      </c>
      <c r="G39" s="514">
        <v>96</v>
      </c>
      <c r="H39" s="540">
        <v>9213</v>
      </c>
      <c r="I39" s="514">
        <v>0</v>
      </c>
      <c r="J39" s="514">
        <v>0</v>
      </c>
      <c r="K39" s="514">
        <v>0</v>
      </c>
      <c r="L39" s="514">
        <v>0</v>
      </c>
      <c r="M39" s="514">
        <v>0</v>
      </c>
      <c r="N39" s="514">
        <v>23336</v>
      </c>
    </row>
    <row r="40" spans="1:14" ht="15.75" thickBot="1">
      <c r="B40" t="s">
        <v>702</v>
      </c>
      <c r="C40" s="984">
        <v>17127</v>
      </c>
      <c r="D40" s="540">
        <v>16551</v>
      </c>
      <c r="E40" s="514">
        <v>0</v>
      </c>
      <c r="F40" s="514">
        <v>33142</v>
      </c>
      <c r="G40" s="514">
        <v>1397</v>
      </c>
      <c r="H40" s="540">
        <v>103218</v>
      </c>
      <c r="I40" s="514">
        <v>896</v>
      </c>
      <c r="J40" s="514">
        <v>542</v>
      </c>
      <c r="K40" s="514">
        <v>0</v>
      </c>
      <c r="L40" s="514">
        <v>0</v>
      </c>
      <c r="M40" s="514">
        <v>0</v>
      </c>
      <c r="N40" s="514">
        <v>172873</v>
      </c>
    </row>
    <row r="41" spans="1:14" ht="15.75" thickBot="1">
      <c r="A41" s="980" t="s">
        <v>656</v>
      </c>
      <c r="B41" s="980"/>
      <c r="C41" s="988">
        <f>SUM(C26:C40)</f>
        <v>1105464</v>
      </c>
      <c r="D41" s="989">
        <f>SUM(D26:D40)</f>
        <v>97642</v>
      </c>
      <c r="E41" s="982">
        <f t="shared" ref="E41:N41" si="2">SUM(E26:E40)</f>
        <v>1122</v>
      </c>
      <c r="F41" s="982">
        <f t="shared" si="2"/>
        <v>44743</v>
      </c>
      <c r="G41" s="982">
        <f t="shared" si="2"/>
        <v>1857</v>
      </c>
      <c r="H41" s="989">
        <f t="shared" si="2"/>
        <v>164600</v>
      </c>
      <c r="I41" s="982">
        <f t="shared" si="2"/>
        <v>19894</v>
      </c>
      <c r="J41" s="982">
        <f t="shared" si="2"/>
        <v>937</v>
      </c>
      <c r="K41" s="982">
        <f t="shared" si="2"/>
        <v>0</v>
      </c>
      <c r="L41" s="982">
        <f t="shared" si="2"/>
        <v>232</v>
      </c>
      <c r="M41" s="982">
        <f t="shared" si="2"/>
        <v>0</v>
      </c>
      <c r="N41" s="982">
        <f t="shared" si="2"/>
        <v>1436491</v>
      </c>
    </row>
    <row r="42" spans="1:14" ht="15.75" thickBot="1">
      <c r="A42" s="1" t="s">
        <v>33</v>
      </c>
      <c r="B42" s="1"/>
      <c r="C42" s="985">
        <f>C41+C25+C14</f>
        <v>2370363</v>
      </c>
      <c r="D42" s="990">
        <f>D41+D25+D14</f>
        <v>323077</v>
      </c>
      <c r="E42" s="514">
        <v>2251</v>
      </c>
      <c r="F42" s="514">
        <v>75322</v>
      </c>
      <c r="G42" s="514">
        <v>2059</v>
      </c>
      <c r="H42" s="990">
        <v>272406</v>
      </c>
      <c r="I42" s="514">
        <v>24235</v>
      </c>
      <c r="J42" s="514">
        <v>937</v>
      </c>
      <c r="K42" s="514">
        <v>144</v>
      </c>
      <c r="L42" s="514">
        <v>908</v>
      </c>
      <c r="M42" s="514">
        <v>823</v>
      </c>
      <c r="N42" s="514">
        <v>3072525</v>
      </c>
    </row>
    <row r="47" spans="1:14">
      <c r="A47" t="s">
        <v>1052</v>
      </c>
    </row>
    <row r="48" spans="1:14">
      <c r="A48" t="s">
        <v>1053</v>
      </c>
    </row>
    <row r="49" spans="1:37">
      <c r="A49" t="s">
        <v>104</v>
      </c>
      <c r="B49" t="s">
        <v>104</v>
      </c>
      <c r="C49" t="s">
        <v>1054</v>
      </c>
      <c r="AK49" t="s">
        <v>33</v>
      </c>
    </row>
    <row r="50" spans="1:37">
      <c r="C50" t="s">
        <v>1055</v>
      </c>
      <c r="D50" t="s">
        <v>1056</v>
      </c>
      <c r="E50" t="s">
        <v>1057</v>
      </c>
      <c r="F50" t="s">
        <v>1058</v>
      </c>
      <c r="G50" t="s">
        <v>1059</v>
      </c>
      <c r="H50" t="s">
        <v>697</v>
      </c>
      <c r="I50" t="s">
        <v>1060</v>
      </c>
      <c r="J50" t="s">
        <v>1061</v>
      </c>
      <c r="K50" t="s">
        <v>1062</v>
      </c>
      <c r="L50" t="s">
        <v>1063</v>
      </c>
      <c r="M50" t="s">
        <v>1064</v>
      </c>
      <c r="N50" t="s">
        <v>121</v>
      </c>
      <c r="O50" t="s">
        <v>1065</v>
      </c>
      <c r="P50" t="s">
        <v>1066</v>
      </c>
      <c r="Q50" t="s">
        <v>118</v>
      </c>
      <c r="R50" t="s">
        <v>1067</v>
      </c>
      <c r="S50" t="s">
        <v>698</v>
      </c>
      <c r="T50" t="s">
        <v>1068</v>
      </c>
      <c r="U50" t="s">
        <v>1069</v>
      </c>
      <c r="V50" t="s">
        <v>1070</v>
      </c>
      <c r="W50" t="s">
        <v>128</v>
      </c>
      <c r="X50" t="s">
        <v>1071</v>
      </c>
      <c r="Y50" t="s">
        <v>1072</v>
      </c>
      <c r="Z50" t="s">
        <v>123</v>
      </c>
      <c r="AA50" t="s">
        <v>1073</v>
      </c>
      <c r="AB50" t="s">
        <v>1074</v>
      </c>
      <c r="AC50" t="s">
        <v>1075</v>
      </c>
      <c r="AD50" t="s">
        <v>1076</v>
      </c>
      <c r="AE50" t="s">
        <v>1077</v>
      </c>
      <c r="AF50" t="s">
        <v>1078</v>
      </c>
      <c r="AG50" t="s">
        <v>1079</v>
      </c>
      <c r="AH50" t="s">
        <v>701</v>
      </c>
      <c r="AI50" t="s">
        <v>702</v>
      </c>
      <c r="AJ50" t="s">
        <v>1080</v>
      </c>
    </row>
    <row r="51" spans="1:37">
      <c r="A51" s="444" t="s">
        <v>1135</v>
      </c>
      <c r="B51">
        <v>0</v>
      </c>
      <c r="C51">
        <v>70</v>
      </c>
      <c r="D51">
        <v>138</v>
      </c>
      <c r="E51">
        <v>135</v>
      </c>
      <c r="F51">
        <v>242</v>
      </c>
      <c r="G51">
        <v>0</v>
      </c>
      <c r="H51">
        <v>336</v>
      </c>
      <c r="J51">
        <v>5099</v>
      </c>
      <c r="K51">
        <v>431</v>
      </c>
      <c r="L51">
        <v>688</v>
      </c>
      <c r="M51">
        <v>2879</v>
      </c>
      <c r="N51">
        <v>670</v>
      </c>
      <c r="O51">
        <v>61944</v>
      </c>
      <c r="P51">
        <v>11082</v>
      </c>
      <c r="Q51">
        <v>438</v>
      </c>
      <c r="R51">
        <v>2352</v>
      </c>
      <c r="S51">
        <v>4049</v>
      </c>
      <c r="U51">
        <v>15917</v>
      </c>
      <c r="V51">
        <v>10336</v>
      </c>
      <c r="W51">
        <v>2843</v>
      </c>
      <c r="X51">
        <v>0</v>
      </c>
      <c r="Y51">
        <v>123</v>
      </c>
      <c r="Z51">
        <v>558</v>
      </c>
      <c r="AA51">
        <v>2098</v>
      </c>
      <c r="AB51">
        <v>83</v>
      </c>
      <c r="AC51">
        <v>133</v>
      </c>
      <c r="AD51">
        <v>214</v>
      </c>
      <c r="AE51">
        <v>321</v>
      </c>
      <c r="AF51">
        <v>271</v>
      </c>
      <c r="AG51">
        <v>1247</v>
      </c>
      <c r="AH51">
        <v>1300</v>
      </c>
      <c r="AI51">
        <v>4489</v>
      </c>
      <c r="AK51">
        <v>130486</v>
      </c>
    </row>
    <row r="52" spans="1:37">
      <c r="A52" s="409"/>
      <c r="B52">
        <v>2</v>
      </c>
      <c r="C52">
        <v>0</v>
      </c>
      <c r="D52">
        <v>0</v>
      </c>
      <c r="E52">
        <v>34</v>
      </c>
      <c r="F52">
        <v>0</v>
      </c>
      <c r="G52">
        <v>0</v>
      </c>
      <c r="H52">
        <v>0</v>
      </c>
      <c r="J52">
        <v>0</v>
      </c>
      <c r="K52">
        <v>0</v>
      </c>
      <c r="L52">
        <v>0</v>
      </c>
      <c r="M52">
        <v>0</v>
      </c>
      <c r="N52">
        <v>0</v>
      </c>
      <c r="O52">
        <v>0</v>
      </c>
      <c r="P52">
        <v>367</v>
      </c>
      <c r="Q52">
        <v>0</v>
      </c>
      <c r="R52">
        <v>0</v>
      </c>
      <c r="S52">
        <v>0</v>
      </c>
      <c r="U52">
        <v>0</v>
      </c>
      <c r="V52">
        <v>0</v>
      </c>
      <c r="W52">
        <v>0</v>
      </c>
      <c r="X52">
        <v>0</v>
      </c>
      <c r="Y52">
        <v>0</v>
      </c>
      <c r="Z52">
        <v>0</v>
      </c>
      <c r="AA52">
        <v>0</v>
      </c>
      <c r="AB52">
        <v>0</v>
      </c>
      <c r="AC52">
        <v>0</v>
      </c>
      <c r="AD52">
        <v>0</v>
      </c>
      <c r="AE52">
        <v>0</v>
      </c>
      <c r="AF52">
        <v>0</v>
      </c>
      <c r="AG52">
        <v>0</v>
      </c>
      <c r="AH52">
        <v>0</v>
      </c>
      <c r="AI52">
        <v>0</v>
      </c>
      <c r="AK52">
        <v>401</v>
      </c>
    </row>
    <row r="53" spans="1:37">
      <c r="A53" s="409"/>
      <c r="B53">
        <v>3</v>
      </c>
      <c r="C53">
        <v>0</v>
      </c>
      <c r="D53">
        <v>0</v>
      </c>
      <c r="E53">
        <v>0</v>
      </c>
      <c r="F53">
        <v>0</v>
      </c>
      <c r="G53">
        <v>457</v>
      </c>
      <c r="H53">
        <v>0</v>
      </c>
      <c r="J53">
        <v>0</v>
      </c>
      <c r="K53">
        <v>0</v>
      </c>
      <c r="L53">
        <v>0</v>
      </c>
      <c r="M53">
        <v>0</v>
      </c>
      <c r="N53">
        <v>0</v>
      </c>
      <c r="O53">
        <v>0</v>
      </c>
      <c r="P53">
        <v>0</v>
      </c>
      <c r="Q53">
        <v>0</v>
      </c>
      <c r="R53">
        <v>0</v>
      </c>
      <c r="S53">
        <v>0</v>
      </c>
      <c r="U53">
        <v>0</v>
      </c>
      <c r="V53">
        <v>0</v>
      </c>
      <c r="W53">
        <v>0</v>
      </c>
      <c r="X53">
        <v>192</v>
      </c>
      <c r="Y53">
        <v>0</v>
      </c>
      <c r="Z53">
        <v>0</v>
      </c>
      <c r="AA53">
        <v>0</v>
      </c>
      <c r="AB53">
        <v>0</v>
      </c>
      <c r="AC53">
        <v>0</v>
      </c>
      <c r="AD53">
        <v>0</v>
      </c>
      <c r="AE53">
        <v>0</v>
      </c>
      <c r="AF53">
        <v>0</v>
      </c>
      <c r="AG53">
        <v>0</v>
      </c>
      <c r="AH53">
        <v>0</v>
      </c>
      <c r="AI53">
        <v>0</v>
      </c>
      <c r="AK53">
        <v>649</v>
      </c>
    </row>
    <row r="54" spans="1:37">
      <c r="A54" s="409"/>
      <c r="B54">
        <v>6</v>
      </c>
      <c r="C54">
        <v>0</v>
      </c>
      <c r="D54">
        <v>0</v>
      </c>
      <c r="E54">
        <v>0</v>
      </c>
      <c r="F54">
        <v>0</v>
      </c>
      <c r="G54">
        <v>0</v>
      </c>
      <c r="H54">
        <v>0</v>
      </c>
      <c r="J54">
        <v>0</v>
      </c>
      <c r="K54">
        <v>0</v>
      </c>
      <c r="L54">
        <v>0</v>
      </c>
      <c r="M54">
        <v>0</v>
      </c>
      <c r="N54">
        <v>0</v>
      </c>
      <c r="O54">
        <v>259</v>
      </c>
      <c r="P54">
        <v>0</v>
      </c>
      <c r="Q54">
        <v>0</v>
      </c>
      <c r="R54">
        <v>0</v>
      </c>
      <c r="S54">
        <v>0</v>
      </c>
      <c r="U54">
        <v>0</v>
      </c>
      <c r="V54">
        <v>0</v>
      </c>
      <c r="W54">
        <v>0</v>
      </c>
      <c r="X54">
        <v>0</v>
      </c>
      <c r="Y54">
        <v>0</v>
      </c>
      <c r="Z54">
        <v>0</v>
      </c>
      <c r="AA54">
        <v>0</v>
      </c>
      <c r="AB54">
        <v>0</v>
      </c>
      <c r="AC54">
        <v>0</v>
      </c>
      <c r="AD54">
        <v>0</v>
      </c>
      <c r="AE54">
        <v>0</v>
      </c>
      <c r="AF54">
        <v>0</v>
      </c>
      <c r="AG54">
        <v>0</v>
      </c>
      <c r="AH54">
        <v>0</v>
      </c>
      <c r="AI54">
        <v>0</v>
      </c>
      <c r="AK54">
        <v>259</v>
      </c>
    </row>
    <row r="55" spans="1:37">
      <c r="A55" s="409"/>
      <c r="B55">
        <v>7</v>
      </c>
      <c r="C55">
        <v>0</v>
      </c>
      <c r="D55">
        <v>0</v>
      </c>
      <c r="E55">
        <v>0</v>
      </c>
      <c r="F55">
        <v>0</v>
      </c>
      <c r="G55">
        <v>0</v>
      </c>
      <c r="H55">
        <v>0</v>
      </c>
      <c r="J55">
        <v>0</v>
      </c>
      <c r="K55">
        <v>0</v>
      </c>
      <c r="L55">
        <v>0</v>
      </c>
      <c r="M55">
        <v>0</v>
      </c>
      <c r="N55">
        <v>0</v>
      </c>
      <c r="O55">
        <v>631</v>
      </c>
      <c r="P55">
        <v>0</v>
      </c>
      <c r="Q55">
        <v>0</v>
      </c>
      <c r="R55">
        <v>0</v>
      </c>
      <c r="S55">
        <v>0</v>
      </c>
      <c r="U55">
        <v>0</v>
      </c>
      <c r="V55">
        <v>0</v>
      </c>
      <c r="W55">
        <v>0</v>
      </c>
      <c r="X55">
        <v>0</v>
      </c>
      <c r="Y55">
        <v>0</v>
      </c>
      <c r="Z55">
        <v>0</v>
      </c>
      <c r="AA55">
        <v>0</v>
      </c>
      <c r="AB55">
        <v>0</v>
      </c>
      <c r="AC55">
        <v>0</v>
      </c>
      <c r="AD55">
        <v>0</v>
      </c>
      <c r="AE55">
        <v>0</v>
      </c>
      <c r="AF55">
        <v>0</v>
      </c>
      <c r="AG55">
        <v>0</v>
      </c>
      <c r="AH55">
        <v>0</v>
      </c>
      <c r="AI55">
        <v>0</v>
      </c>
      <c r="AK55">
        <v>631</v>
      </c>
    </row>
    <row r="56" spans="1:37">
      <c r="A56" s="409"/>
      <c r="B56">
        <v>10</v>
      </c>
      <c r="C56">
        <v>0</v>
      </c>
      <c r="D56">
        <v>0</v>
      </c>
      <c r="E56">
        <v>0</v>
      </c>
      <c r="F56">
        <v>0</v>
      </c>
      <c r="G56">
        <v>0</v>
      </c>
      <c r="H56">
        <v>0</v>
      </c>
      <c r="J56">
        <v>0</v>
      </c>
      <c r="K56">
        <v>0</v>
      </c>
      <c r="L56">
        <v>0</v>
      </c>
      <c r="M56">
        <v>0</v>
      </c>
      <c r="N56">
        <v>0</v>
      </c>
      <c r="O56">
        <v>0</v>
      </c>
      <c r="P56">
        <v>0</v>
      </c>
      <c r="Q56">
        <v>0</v>
      </c>
      <c r="R56">
        <v>0</v>
      </c>
      <c r="S56">
        <v>0</v>
      </c>
      <c r="U56">
        <v>0</v>
      </c>
      <c r="V56">
        <v>0</v>
      </c>
      <c r="W56">
        <v>0</v>
      </c>
      <c r="X56">
        <v>308</v>
      </c>
      <c r="Y56">
        <v>0</v>
      </c>
      <c r="Z56">
        <v>0</v>
      </c>
      <c r="AA56">
        <v>0</v>
      </c>
      <c r="AB56">
        <v>0</v>
      </c>
      <c r="AC56">
        <v>0</v>
      </c>
      <c r="AD56">
        <v>0</v>
      </c>
      <c r="AE56">
        <v>0</v>
      </c>
      <c r="AF56">
        <v>0</v>
      </c>
      <c r="AG56">
        <v>0</v>
      </c>
      <c r="AH56">
        <v>0</v>
      </c>
      <c r="AI56">
        <v>0</v>
      </c>
      <c r="AK56">
        <v>308</v>
      </c>
    </row>
    <row r="57" spans="1:37">
      <c r="A57" s="409"/>
      <c r="B57">
        <v>20</v>
      </c>
      <c r="C57">
        <v>53</v>
      </c>
      <c r="D57">
        <v>326</v>
      </c>
      <c r="E57">
        <v>0</v>
      </c>
      <c r="F57">
        <v>0</v>
      </c>
      <c r="G57">
        <v>0</v>
      </c>
      <c r="H57">
        <v>0</v>
      </c>
      <c r="J57">
        <v>0</v>
      </c>
      <c r="K57">
        <v>0</v>
      </c>
      <c r="L57">
        <v>0</v>
      </c>
      <c r="M57">
        <v>0</v>
      </c>
      <c r="N57">
        <v>0</v>
      </c>
      <c r="O57">
        <v>0</v>
      </c>
      <c r="P57">
        <v>0</v>
      </c>
      <c r="Q57">
        <v>0</v>
      </c>
      <c r="R57">
        <v>0</v>
      </c>
      <c r="S57">
        <v>222</v>
      </c>
      <c r="U57">
        <v>0</v>
      </c>
      <c r="V57">
        <v>0</v>
      </c>
      <c r="W57">
        <v>0</v>
      </c>
      <c r="X57">
        <v>0</v>
      </c>
      <c r="Y57">
        <v>0</v>
      </c>
      <c r="Z57">
        <v>0</v>
      </c>
      <c r="AA57">
        <v>0</v>
      </c>
      <c r="AB57">
        <v>0</v>
      </c>
      <c r="AC57">
        <v>0</v>
      </c>
      <c r="AD57">
        <v>0</v>
      </c>
      <c r="AE57">
        <v>463</v>
      </c>
      <c r="AF57">
        <v>0</v>
      </c>
      <c r="AG57">
        <v>20</v>
      </c>
      <c r="AH57">
        <v>338</v>
      </c>
      <c r="AI57">
        <v>0</v>
      </c>
      <c r="AK57">
        <v>1422</v>
      </c>
    </row>
    <row r="58" spans="1:37">
      <c r="A58" s="409"/>
      <c r="B58">
        <v>25</v>
      </c>
      <c r="C58">
        <v>0</v>
      </c>
      <c r="D58">
        <v>0</v>
      </c>
      <c r="E58">
        <v>0</v>
      </c>
      <c r="F58">
        <v>0</v>
      </c>
      <c r="G58">
        <v>0</v>
      </c>
      <c r="H58">
        <v>0</v>
      </c>
      <c r="J58">
        <v>0</v>
      </c>
      <c r="K58">
        <v>0</v>
      </c>
      <c r="L58">
        <v>0</v>
      </c>
      <c r="M58">
        <v>0</v>
      </c>
      <c r="N58">
        <v>0</v>
      </c>
      <c r="O58">
        <v>0</v>
      </c>
      <c r="P58">
        <v>0</v>
      </c>
      <c r="Q58">
        <v>0</v>
      </c>
      <c r="R58">
        <v>0</v>
      </c>
      <c r="S58">
        <v>0</v>
      </c>
      <c r="U58">
        <v>0</v>
      </c>
      <c r="V58">
        <v>0</v>
      </c>
      <c r="W58">
        <v>0</v>
      </c>
      <c r="X58">
        <v>0</v>
      </c>
      <c r="Y58">
        <v>0</v>
      </c>
      <c r="Z58">
        <v>0</v>
      </c>
      <c r="AA58">
        <v>0</v>
      </c>
      <c r="AB58">
        <v>0</v>
      </c>
      <c r="AC58">
        <v>0</v>
      </c>
      <c r="AD58">
        <v>0</v>
      </c>
      <c r="AE58">
        <v>0</v>
      </c>
      <c r="AF58">
        <v>0</v>
      </c>
      <c r="AG58">
        <v>0</v>
      </c>
      <c r="AH58">
        <v>77</v>
      </c>
      <c r="AI58">
        <v>0</v>
      </c>
      <c r="AK58">
        <v>77</v>
      </c>
    </row>
    <row r="59" spans="1:37">
      <c r="A59" s="409"/>
      <c r="B59">
        <v>30</v>
      </c>
      <c r="C59">
        <v>84</v>
      </c>
      <c r="D59">
        <v>805</v>
      </c>
      <c r="E59">
        <v>0</v>
      </c>
      <c r="F59">
        <v>0</v>
      </c>
      <c r="G59">
        <v>0</v>
      </c>
      <c r="H59">
        <v>0</v>
      </c>
      <c r="J59">
        <v>0</v>
      </c>
      <c r="K59">
        <v>0</v>
      </c>
      <c r="L59">
        <v>0</v>
      </c>
      <c r="M59">
        <v>0</v>
      </c>
      <c r="N59">
        <v>0</v>
      </c>
      <c r="O59">
        <v>0</v>
      </c>
      <c r="P59">
        <v>0</v>
      </c>
      <c r="Q59">
        <v>476</v>
      </c>
      <c r="R59">
        <v>0</v>
      </c>
      <c r="S59">
        <v>0</v>
      </c>
      <c r="U59">
        <v>0</v>
      </c>
      <c r="V59">
        <v>0</v>
      </c>
      <c r="W59">
        <v>0</v>
      </c>
      <c r="X59">
        <v>636</v>
      </c>
      <c r="Y59">
        <v>0</v>
      </c>
      <c r="Z59">
        <v>85</v>
      </c>
      <c r="AA59">
        <v>0</v>
      </c>
      <c r="AB59">
        <v>354</v>
      </c>
      <c r="AC59">
        <v>0</v>
      </c>
      <c r="AD59">
        <v>253</v>
      </c>
      <c r="AE59">
        <v>0</v>
      </c>
      <c r="AF59">
        <v>0</v>
      </c>
      <c r="AG59">
        <v>39</v>
      </c>
      <c r="AH59">
        <v>0</v>
      </c>
      <c r="AI59">
        <v>0</v>
      </c>
      <c r="AK59">
        <v>2732</v>
      </c>
    </row>
    <row r="60" spans="1:37">
      <c r="A60" s="409"/>
      <c r="B60">
        <v>40</v>
      </c>
      <c r="C60">
        <v>0</v>
      </c>
      <c r="D60">
        <v>689</v>
      </c>
      <c r="E60">
        <v>106</v>
      </c>
      <c r="F60">
        <v>0</v>
      </c>
      <c r="G60">
        <v>0</v>
      </c>
      <c r="H60">
        <v>161</v>
      </c>
      <c r="J60">
        <v>0</v>
      </c>
      <c r="K60">
        <v>0</v>
      </c>
      <c r="L60">
        <v>0</v>
      </c>
      <c r="M60">
        <v>0</v>
      </c>
      <c r="N60">
        <v>0</v>
      </c>
      <c r="O60">
        <v>0</v>
      </c>
      <c r="P60">
        <v>0</v>
      </c>
      <c r="Q60">
        <v>0</v>
      </c>
      <c r="R60">
        <v>0</v>
      </c>
      <c r="S60">
        <v>0</v>
      </c>
      <c r="U60">
        <v>0</v>
      </c>
      <c r="V60">
        <v>0</v>
      </c>
      <c r="W60">
        <v>0</v>
      </c>
      <c r="X60">
        <v>0</v>
      </c>
      <c r="Y60">
        <v>0</v>
      </c>
      <c r="Z60">
        <v>0</v>
      </c>
      <c r="AA60">
        <v>0</v>
      </c>
      <c r="AB60">
        <v>0</v>
      </c>
      <c r="AC60">
        <v>0</v>
      </c>
      <c r="AD60">
        <v>214</v>
      </c>
      <c r="AE60">
        <v>280</v>
      </c>
      <c r="AF60">
        <v>0</v>
      </c>
      <c r="AG60">
        <v>0</v>
      </c>
      <c r="AH60">
        <v>79</v>
      </c>
      <c r="AI60">
        <v>386</v>
      </c>
      <c r="AK60">
        <v>1915</v>
      </c>
    </row>
    <row r="61" spans="1:37">
      <c r="A61" s="409"/>
      <c r="B61">
        <v>50</v>
      </c>
      <c r="C61">
        <v>4528</v>
      </c>
      <c r="D61">
        <v>2502</v>
      </c>
      <c r="E61">
        <v>208</v>
      </c>
      <c r="F61">
        <v>0</v>
      </c>
      <c r="G61">
        <v>4385</v>
      </c>
      <c r="H61">
        <v>118</v>
      </c>
      <c r="J61">
        <v>1482</v>
      </c>
      <c r="K61">
        <v>0</v>
      </c>
      <c r="L61">
        <v>106</v>
      </c>
      <c r="M61">
        <v>526</v>
      </c>
      <c r="N61">
        <v>0</v>
      </c>
      <c r="O61">
        <v>102</v>
      </c>
      <c r="P61">
        <v>323</v>
      </c>
      <c r="Q61">
        <v>676</v>
      </c>
      <c r="R61">
        <v>0</v>
      </c>
      <c r="S61">
        <v>557</v>
      </c>
      <c r="U61">
        <v>0</v>
      </c>
      <c r="V61">
        <v>1740</v>
      </c>
      <c r="W61">
        <v>1790</v>
      </c>
      <c r="X61">
        <v>674</v>
      </c>
      <c r="Y61">
        <v>245</v>
      </c>
      <c r="Z61">
        <v>145</v>
      </c>
      <c r="AA61">
        <v>1515</v>
      </c>
      <c r="AB61">
        <v>0</v>
      </c>
      <c r="AC61">
        <v>0</v>
      </c>
      <c r="AD61">
        <v>0</v>
      </c>
      <c r="AE61">
        <v>323</v>
      </c>
      <c r="AF61">
        <v>358</v>
      </c>
      <c r="AG61">
        <v>26</v>
      </c>
      <c r="AH61">
        <v>189</v>
      </c>
      <c r="AI61">
        <v>0</v>
      </c>
      <c r="AK61">
        <v>22518</v>
      </c>
    </row>
    <row r="62" spans="1:37">
      <c r="A62" s="409"/>
      <c r="B62">
        <v>60</v>
      </c>
      <c r="C62">
        <v>469</v>
      </c>
      <c r="D62">
        <v>640</v>
      </c>
      <c r="E62">
        <v>0</v>
      </c>
      <c r="F62">
        <v>0</v>
      </c>
      <c r="G62">
        <v>0</v>
      </c>
      <c r="H62">
        <v>0</v>
      </c>
      <c r="J62">
        <v>0</v>
      </c>
      <c r="K62">
        <v>0</v>
      </c>
      <c r="L62">
        <v>0</v>
      </c>
      <c r="M62">
        <v>0</v>
      </c>
      <c r="N62">
        <v>0</v>
      </c>
      <c r="O62">
        <v>698</v>
      </c>
      <c r="P62">
        <v>267</v>
      </c>
      <c r="Q62">
        <v>320</v>
      </c>
      <c r="R62">
        <v>0</v>
      </c>
      <c r="S62">
        <v>390</v>
      </c>
      <c r="U62">
        <v>0</v>
      </c>
      <c r="V62">
        <v>345</v>
      </c>
      <c r="W62">
        <v>0</v>
      </c>
      <c r="X62">
        <v>0</v>
      </c>
      <c r="Y62">
        <v>138</v>
      </c>
      <c r="Z62">
        <v>0</v>
      </c>
      <c r="AA62">
        <v>0</v>
      </c>
      <c r="AB62">
        <v>0</v>
      </c>
      <c r="AC62">
        <v>0</v>
      </c>
      <c r="AD62">
        <v>0</v>
      </c>
      <c r="AE62">
        <v>0</v>
      </c>
      <c r="AF62">
        <v>0</v>
      </c>
      <c r="AG62">
        <v>0</v>
      </c>
      <c r="AH62">
        <v>201</v>
      </c>
      <c r="AI62">
        <v>541</v>
      </c>
      <c r="AK62">
        <v>4009</v>
      </c>
    </row>
    <row r="63" spans="1:37">
      <c r="B63">
        <v>70</v>
      </c>
      <c r="C63">
        <v>340</v>
      </c>
      <c r="D63">
        <v>0</v>
      </c>
      <c r="E63">
        <v>0</v>
      </c>
      <c r="F63">
        <v>0</v>
      </c>
      <c r="G63">
        <v>1630</v>
      </c>
      <c r="H63">
        <v>89</v>
      </c>
      <c r="J63">
        <v>275</v>
      </c>
      <c r="K63">
        <v>220</v>
      </c>
      <c r="L63">
        <v>0</v>
      </c>
      <c r="M63">
        <v>524</v>
      </c>
      <c r="N63">
        <v>0</v>
      </c>
      <c r="O63">
        <v>0</v>
      </c>
      <c r="P63">
        <v>0</v>
      </c>
      <c r="Q63">
        <v>0</v>
      </c>
      <c r="R63">
        <v>0</v>
      </c>
      <c r="S63">
        <v>0</v>
      </c>
      <c r="U63">
        <v>0</v>
      </c>
      <c r="V63">
        <v>0</v>
      </c>
      <c r="W63">
        <v>0</v>
      </c>
      <c r="X63">
        <v>0</v>
      </c>
      <c r="Y63">
        <v>0</v>
      </c>
      <c r="Z63">
        <v>0</v>
      </c>
      <c r="AA63">
        <v>0</v>
      </c>
      <c r="AB63">
        <v>0</v>
      </c>
      <c r="AC63">
        <v>0</v>
      </c>
      <c r="AD63">
        <v>0</v>
      </c>
      <c r="AE63">
        <v>131</v>
      </c>
      <c r="AF63">
        <v>244</v>
      </c>
      <c r="AG63">
        <v>0</v>
      </c>
      <c r="AH63">
        <v>0</v>
      </c>
      <c r="AI63">
        <v>0</v>
      </c>
      <c r="AK63">
        <v>3453</v>
      </c>
    </row>
    <row r="64" spans="1:37">
      <c r="B64">
        <v>75</v>
      </c>
      <c r="C64">
        <v>0</v>
      </c>
      <c r="D64">
        <v>98</v>
      </c>
      <c r="E64">
        <v>0</v>
      </c>
      <c r="F64">
        <v>0</v>
      </c>
      <c r="G64">
        <v>0</v>
      </c>
      <c r="H64">
        <v>0</v>
      </c>
      <c r="J64">
        <v>0</v>
      </c>
      <c r="K64">
        <v>0</v>
      </c>
      <c r="L64">
        <v>0</v>
      </c>
      <c r="M64">
        <v>0</v>
      </c>
      <c r="N64">
        <v>0</v>
      </c>
      <c r="O64">
        <v>0</v>
      </c>
      <c r="P64">
        <v>0</v>
      </c>
      <c r="Q64">
        <v>0</v>
      </c>
      <c r="R64">
        <v>0</v>
      </c>
      <c r="S64">
        <v>0</v>
      </c>
      <c r="U64">
        <v>0</v>
      </c>
      <c r="V64">
        <v>0</v>
      </c>
      <c r="W64">
        <v>0</v>
      </c>
      <c r="X64">
        <v>0</v>
      </c>
      <c r="Y64">
        <v>0</v>
      </c>
      <c r="Z64">
        <v>0</v>
      </c>
      <c r="AA64">
        <v>0</v>
      </c>
      <c r="AB64">
        <v>0</v>
      </c>
      <c r="AC64">
        <v>0</v>
      </c>
      <c r="AD64">
        <v>0</v>
      </c>
      <c r="AE64">
        <v>0</v>
      </c>
      <c r="AF64">
        <v>0</v>
      </c>
      <c r="AG64">
        <v>0</v>
      </c>
      <c r="AH64">
        <v>0</v>
      </c>
      <c r="AI64">
        <v>0</v>
      </c>
      <c r="AK64">
        <v>98</v>
      </c>
    </row>
    <row r="65" spans="2:37">
      <c r="B65">
        <v>80</v>
      </c>
      <c r="C65">
        <v>1732</v>
      </c>
      <c r="D65">
        <v>1514</v>
      </c>
      <c r="E65">
        <v>129</v>
      </c>
      <c r="F65">
        <v>227</v>
      </c>
      <c r="G65">
        <v>1131</v>
      </c>
      <c r="H65">
        <v>0</v>
      </c>
      <c r="J65">
        <v>0</v>
      </c>
      <c r="K65">
        <v>0</v>
      </c>
      <c r="L65">
        <v>0</v>
      </c>
      <c r="M65">
        <v>0</v>
      </c>
      <c r="N65">
        <v>222</v>
      </c>
      <c r="O65">
        <v>426</v>
      </c>
      <c r="P65">
        <v>0</v>
      </c>
      <c r="Q65">
        <v>639</v>
      </c>
      <c r="R65">
        <v>0</v>
      </c>
      <c r="S65">
        <v>486</v>
      </c>
      <c r="U65">
        <v>0</v>
      </c>
      <c r="V65">
        <v>0</v>
      </c>
      <c r="W65">
        <v>0</v>
      </c>
      <c r="X65">
        <v>167</v>
      </c>
      <c r="Y65">
        <v>0</v>
      </c>
      <c r="Z65">
        <v>0</v>
      </c>
      <c r="AA65">
        <v>0</v>
      </c>
      <c r="AB65">
        <v>0</v>
      </c>
      <c r="AC65">
        <v>0</v>
      </c>
      <c r="AD65">
        <v>214</v>
      </c>
      <c r="AE65">
        <v>0</v>
      </c>
      <c r="AF65">
        <v>0</v>
      </c>
      <c r="AG65">
        <v>0</v>
      </c>
      <c r="AH65">
        <v>83</v>
      </c>
      <c r="AI65">
        <v>0</v>
      </c>
      <c r="AK65">
        <v>6970</v>
      </c>
    </row>
    <row r="66" spans="2:37">
      <c r="B66">
        <v>90</v>
      </c>
      <c r="C66">
        <v>0</v>
      </c>
      <c r="D66">
        <v>0</v>
      </c>
      <c r="E66">
        <v>0</v>
      </c>
      <c r="F66">
        <v>0</v>
      </c>
      <c r="G66">
        <v>0</v>
      </c>
      <c r="H66">
        <v>42</v>
      </c>
      <c r="J66">
        <v>0</v>
      </c>
      <c r="K66">
        <v>0</v>
      </c>
      <c r="L66">
        <v>115</v>
      </c>
      <c r="M66">
        <v>0</v>
      </c>
      <c r="N66">
        <v>105</v>
      </c>
      <c r="O66">
        <v>0</v>
      </c>
      <c r="P66">
        <v>0</v>
      </c>
      <c r="Q66">
        <v>0</v>
      </c>
      <c r="R66">
        <v>0</v>
      </c>
      <c r="S66">
        <v>0</v>
      </c>
      <c r="U66">
        <v>0</v>
      </c>
      <c r="V66">
        <v>0</v>
      </c>
      <c r="W66">
        <v>0</v>
      </c>
      <c r="X66">
        <v>0</v>
      </c>
      <c r="Y66">
        <v>0</v>
      </c>
      <c r="Z66">
        <v>0</v>
      </c>
      <c r="AA66">
        <v>0</v>
      </c>
      <c r="AB66">
        <v>0</v>
      </c>
      <c r="AC66">
        <v>0</v>
      </c>
      <c r="AD66">
        <v>0</v>
      </c>
      <c r="AE66">
        <v>0</v>
      </c>
      <c r="AF66">
        <v>0</v>
      </c>
      <c r="AG66">
        <v>0</v>
      </c>
      <c r="AH66">
        <v>230</v>
      </c>
      <c r="AI66">
        <v>116</v>
      </c>
      <c r="AK66">
        <v>608</v>
      </c>
    </row>
    <row r="67" spans="2:37">
      <c r="B67">
        <v>100</v>
      </c>
      <c r="C67">
        <v>8964</v>
      </c>
      <c r="D67">
        <v>10048</v>
      </c>
      <c r="E67">
        <v>1692</v>
      </c>
      <c r="F67">
        <v>1658</v>
      </c>
      <c r="G67">
        <v>28129</v>
      </c>
      <c r="H67">
        <v>2062</v>
      </c>
      <c r="J67">
        <v>4567</v>
      </c>
      <c r="K67">
        <v>1035</v>
      </c>
      <c r="L67">
        <v>1582</v>
      </c>
      <c r="M67">
        <v>4220</v>
      </c>
      <c r="N67">
        <v>8198</v>
      </c>
      <c r="O67">
        <v>25447</v>
      </c>
      <c r="P67">
        <v>5021</v>
      </c>
      <c r="Q67">
        <v>8270</v>
      </c>
      <c r="R67">
        <v>2182</v>
      </c>
      <c r="S67">
        <v>8486</v>
      </c>
      <c r="U67">
        <v>12521</v>
      </c>
      <c r="V67">
        <v>11283</v>
      </c>
      <c r="W67">
        <v>13502</v>
      </c>
      <c r="X67">
        <v>3185</v>
      </c>
      <c r="Y67">
        <v>3835</v>
      </c>
      <c r="Z67">
        <v>2930</v>
      </c>
      <c r="AA67">
        <v>2424</v>
      </c>
      <c r="AB67">
        <v>943</v>
      </c>
      <c r="AC67">
        <v>1477</v>
      </c>
      <c r="AD67">
        <v>9865</v>
      </c>
      <c r="AE67">
        <v>6774</v>
      </c>
      <c r="AF67">
        <v>2774</v>
      </c>
      <c r="AG67">
        <v>3414</v>
      </c>
      <c r="AH67">
        <v>1033</v>
      </c>
      <c r="AI67">
        <v>5070</v>
      </c>
      <c r="AK67">
        <v>202591</v>
      </c>
    </row>
    <row r="68" spans="2:37">
      <c r="B68">
        <v>105</v>
      </c>
      <c r="C68">
        <v>0</v>
      </c>
      <c r="D68">
        <v>0</v>
      </c>
      <c r="E68">
        <v>0</v>
      </c>
      <c r="F68">
        <v>0</v>
      </c>
      <c r="G68">
        <v>0</v>
      </c>
      <c r="H68">
        <v>0</v>
      </c>
      <c r="J68">
        <v>538</v>
      </c>
      <c r="K68">
        <v>0</v>
      </c>
      <c r="L68">
        <v>0</v>
      </c>
      <c r="M68">
        <v>0</v>
      </c>
      <c r="N68">
        <v>0</v>
      </c>
      <c r="O68">
        <v>0</v>
      </c>
      <c r="P68">
        <v>0</v>
      </c>
      <c r="Q68">
        <v>0</v>
      </c>
      <c r="R68">
        <v>0</v>
      </c>
      <c r="S68">
        <v>0</v>
      </c>
      <c r="U68">
        <v>0</v>
      </c>
      <c r="V68">
        <v>0</v>
      </c>
      <c r="W68">
        <v>0</v>
      </c>
      <c r="X68">
        <v>0</v>
      </c>
      <c r="Y68">
        <v>0</v>
      </c>
      <c r="Z68">
        <v>0</v>
      </c>
      <c r="AA68">
        <v>0</v>
      </c>
      <c r="AB68">
        <v>0</v>
      </c>
      <c r="AC68">
        <v>0</v>
      </c>
      <c r="AD68">
        <v>0</v>
      </c>
      <c r="AE68">
        <v>0</v>
      </c>
      <c r="AF68">
        <v>0</v>
      </c>
      <c r="AG68">
        <v>0</v>
      </c>
      <c r="AH68">
        <v>0</v>
      </c>
      <c r="AI68">
        <v>0</v>
      </c>
      <c r="AK68">
        <v>538</v>
      </c>
    </row>
    <row r="69" spans="2:37">
      <c r="B69">
        <v>120</v>
      </c>
      <c r="C69">
        <v>437</v>
      </c>
      <c r="D69">
        <v>693</v>
      </c>
      <c r="E69">
        <v>202</v>
      </c>
      <c r="F69">
        <v>240</v>
      </c>
      <c r="G69">
        <v>0</v>
      </c>
      <c r="H69">
        <v>192</v>
      </c>
      <c r="J69">
        <v>0</v>
      </c>
      <c r="K69">
        <v>0</v>
      </c>
      <c r="L69">
        <v>99</v>
      </c>
      <c r="M69">
        <v>526</v>
      </c>
      <c r="N69">
        <v>0</v>
      </c>
      <c r="O69">
        <v>259</v>
      </c>
      <c r="P69">
        <v>247</v>
      </c>
      <c r="Q69">
        <v>903</v>
      </c>
      <c r="R69">
        <v>458</v>
      </c>
      <c r="S69">
        <v>0</v>
      </c>
      <c r="U69">
        <v>0</v>
      </c>
      <c r="V69">
        <v>0</v>
      </c>
      <c r="W69">
        <v>408</v>
      </c>
      <c r="X69">
        <v>168</v>
      </c>
      <c r="Y69">
        <v>0</v>
      </c>
      <c r="Z69">
        <v>102</v>
      </c>
      <c r="AA69">
        <v>1869</v>
      </c>
      <c r="AB69">
        <v>0</v>
      </c>
      <c r="AC69">
        <v>0</v>
      </c>
      <c r="AD69">
        <v>0</v>
      </c>
      <c r="AE69">
        <v>182</v>
      </c>
      <c r="AF69">
        <v>194</v>
      </c>
      <c r="AG69">
        <v>0</v>
      </c>
      <c r="AH69">
        <v>63</v>
      </c>
      <c r="AI69">
        <v>624</v>
      </c>
      <c r="AK69">
        <v>7866</v>
      </c>
    </row>
    <row r="70" spans="2:37">
      <c r="B70">
        <v>130</v>
      </c>
      <c r="C70">
        <v>0</v>
      </c>
      <c r="D70">
        <v>0</v>
      </c>
      <c r="E70">
        <v>0</v>
      </c>
      <c r="F70">
        <v>0</v>
      </c>
      <c r="G70">
        <v>0</v>
      </c>
      <c r="H70">
        <v>0</v>
      </c>
      <c r="J70">
        <v>0</v>
      </c>
      <c r="K70">
        <v>0</v>
      </c>
      <c r="L70">
        <v>0</v>
      </c>
      <c r="M70">
        <v>0</v>
      </c>
      <c r="N70">
        <v>161</v>
      </c>
      <c r="O70">
        <v>0</v>
      </c>
      <c r="P70">
        <v>0</v>
      </c>
      <c r="Q70">
        <v>0</v>
      </c>
      <c r="R70">
        <v>0</v>
      </c>
      <c r="S70">
        <v>0</v>
      </c>
      <c r="U70">
        <v>0</v>
      </c>
      <c r="V70">
        <v>0</v>
      </c>
      <c r="W70">
        <v>0</v>
      </c>
      <c r="X70">
        <v>0</v>
      </c>
      <c r="Y70">
        <v>0</v>
      </c>
      <c r="Z70">
        <v>0</v>
      </c>
      <c r="AA70">
        <v>0</v>
      </c>
      <c r="AB70">
        <v>0</v>
      </c>
      <c r="AC70">
        <v>0</v>
      </c>
      <c r="AD70">
        <v>0</v>
      </c>
      <c r="AE70">
        <v>0</v>
      </c>
      <c r="AF70">
        <v>160</v>
      </c>
      <c r="AG70">
        <v>0</v>
      </c>
      <c r="AH70">
        <v>141</v>
      </c>
      <c r="AI70">
        <v>0</v>
      </c>
      <c r="AK70">
        <v>462</v>
      </c>
    </row>
    <row r="71" spans="2:37">
      <c r="B71">
        <v>140</v>
      </c>
      <c r="C71">
        <v>0</v>
      </c>
      <c r="D71">
        <v>0</v>
      </c>
      <c r="E71">
        <v>129</v>
      </c>
      <c r="F71">
        <v>100</v>
      </c>
      <c r="G71">
        <v>0</v>
      </c>
      <c r="H71">
        <v>0</v>
      </c>
      <c r="J71">
        <v>519</v>
      </c>
      <c r="K71">
        <v>0</v>
      </c>
      <c r="L71">
        <v>0</v>
      </c>
      <c r="M71">
        <v>0</v>
      </c>
      <c r="N71">
        <v>1382</v>
      </c>
      <c r="O71">
        <v>1113</v>
      </c>
      <c r="P71">
        <v>0</v>
      </c>
      <c r="Q71">
        <v>1253</v>
      </c>
      <c r="R71">
        <v>440</v>
      </c>
      <c r="S71">
        <v>473</v>
      </c>
      <c r="U71">
        <v>733</v>
      </c>
      <c r="V71">
        <v>0</v>
      </c>
      <c r="W71">
        <v>0</v>
      </c>
      <c r="X71">
        <v>172</v>
      </c>
      <c r="Y71">
        <v>196</v>
      </c>
      <c r="Z71">
        <v>85</v>
      </c>
      <c r="AA71">
        <v>0</v>
      </c>
      <c r="AB71">
        <v>445</v>
      </c>
      <c r="AC71">
        <v>0</v>
      </c>
      <c r="AD71">
        <v>314</v>
      </c>
      <c r="AE71">
        <v>0</v>
      </c>
      <c r="AF71">
        <v>0</v>
      </c>
      <c r="AG71">
        <v>0</v>
      </c>
      <c r="AH71">
        <v>64</v>
      </c>
      <c r="AI71">
        <v>542</v>
      </c>
      <c r="AK71">
        <v>7960</v>
      </c>
    </row>
    <row r="72" spans="2:37">
      <c r="B72">
        <v>150</v>
      </c>
      <c r="C72">
        <v>3263</v>
      </c>
      <c r="D72">
        <v>4497</v>
      </c>
      <c r="E72">
        <v>509</v>
      </c>
      <c r="F72">
        <v>249</v>
      </c>
      <c r="G72">
        <v>10007</v>
      </c>
      <c r="H72">
        <v>1721</v>
      </c>
      <c r="J72">
        <v>4227</v>
      </c>
      <c r="K72">
        <v>1371</v>
      </c>
      <c r="L72">
        <v>1411</v>
      </c>
      <c r="M72">
        <v>3295</v>
      </c>
      <c r="N72">
        <v>3671</v>
      </c>
      <c r="O72">
        <v>5004</v>
      </c>
      <c r="P72">
        <v>4248</v>
      </c>
      <c r="Q72">
        <v>6420</v>
      </c>
      <c r="R72">
        <v>2366</v>
      </c>
      <c r="S72">
        <v>3927</v>
      </c>
      <c r="U72">
        <v>13697</v>
      </c>
      <c r="V72">
        <v>7446</v>
      </c>
      <c r="W72">
        <v>7040</v>
      </c>
      <c r="X72">
        <v>512</v>
      </c>
      <c r="Y72">
        <v>556</v>
      </c>
      <c r="Z72">
        <v>1276</v>
      </c>
      <c r="AA72">
        <v>683</v>
      </c>
      <c r="AB72">
        <v>1465</v>
      </c>
      <c r="AC72">
        <v>1009</v>
      </c>
      <c r="AD72">
        <v>5179</v>
      </c>
      <c r="AE72">
        <v>4149</v>
      </c>
      <c r="AF72">
        <v>2040</v>
      </c>
      <c r="AG72">
        <v>1065</v>
      </c>
      <c r="AH72">
        <v>356</v>
      </c>
      <c r="AI72">
        <v>456</v>
      </c>
      <c r="AK72">
        <v>103115</v>
      </c>
    </row>
    <row r="73" spans="2:37">
      <c r="B73">
        <v>156</v>
      </c>
      <c r="C73">
        <v>0</v>
      </c>
      <c r="D73">
        <v>0</v>
      </c>
      <c r="E73">
        <v>0</v>
      </c>
      <c r="F73">
        <v>0</v>
      </c>
      <c r="G73">
        <v>0</v>
      </c>
      <c r="H73">
        <v>0</v>
      </c>
      <c r="J73">
        <v>0</v>
      </c>
      <c r="K73">
        <v>0</v>
      </c>
      <c r="L73">
        <v>0</v>
      </c>
      <c r="M73">
        <v>0</v>
      </c>
      <c r="N73">
        <v>74</v>
      </c>
      <c r="O73">
        <v>0</v>
      </c>
      <c r="P73">
        <v>0</v>
      </c>
      <c r="Q73">
        <v>0</v>
      </c>
      <c r="R73">
        <v>0</v>
      </c>
      <c r="S73">
        <v>0</v>
      </c>
      <c r="U73">
        <v>0</v>
      </c>
      <c r="V73">
        <v>0</v>
      </c>
      <c r="W73">
        <v>0</v>
      </c>
      <c r="X73">
        <v>0</v>
      </c>
      <c r="Y73">
        <v>0</v>
      </c>
      <c r="Z73">
        <v>0</v>
      </c>
      <c r="AA73">
        <v>0</v>
      </c>
      <c r="AB73">
        <v>0</v>
      </c>
      <c r="AC73">
        <v>0</v>
      </c>
      <c r="AD73">
        <v>0</v>
      </c>
      <c r="AE73">
        <v>0</v>
      </c>
      <c r="AF73">
        <v>0</v>
      </c>
      <c r="AG73">
        <v>0</v>
      </c>
      <c r="AH73">
        <v>0</v>
      </c>
      <c r="AI73">
        <v>0</v>
      </c>
      <c r="AK73">
        <v>74</v>
      </c>
    </row>
    <row r="74" spans="2:37">
      <c r="B74">
        <v>160</v>
      </c>
      <c r="C74">
        <v>0</v>
      </c>
      <c r="D74">
        <v>0</v>
      </c>
      <c r="E74">
        <v>168</v>
      </c>
      <c r="F74">
        <v>100</v>
      </c>
      <c r="G74">
        <v>0</v>
      </c>
      <c r="H74">
        <v>89</v>
      </c>
      <c r="J74">
        <v>0</v>
      </c>
      <c r="K74">
        <v>0</v>
      </c>
      <c r="L74">
        <v>0</v>
      </c>
      <c r="M74">
        <v>0</v>
      </c>
      <c r="N74">
        <v>0</v>
      </c>
      <c r="O74">
        <v>0</v>
      </c>
      <c r="P74">
        <v>317</v>
      </c>
      <c r="Q74">
        <v>0</v>
      </c>
      <c r="R74">
        <v>0</v>
      </c>
      <c r="S74">
        <v>0</v>
      </c>
      <c r="U74">
        <v>0</v>
      </c>
      <c r="V74">
        <v>0</v>
      </c>
      <c r="W74">
        <v>0</v>
      </c>
      <c r="X74">
        <v>0</v>
      </c>
      <c r="Y74">
        <v>212</v>
      </c>
      <c r="Z74">
        <v>0</v>
      </c>
      <c r="AA74">
        <v>0</v>
      </c>
      <c r="AB74">
        <v>0</v>
      </c>
      <c r="AC74">
        <v>0</v>
      </c>
      <c r="AD74">
        <v>0</v>
      </c>
      <c r="AE74">
        <v>0</v>
      </c>
      <c r="AF74">
        <v>503</v>
      </c>
      <c r="AG74">
        <v>0</v>
      </c>
      <c r="AH74">
        <v>77</v>
      </c>
      <c r="AI74">
        <v>667</v>
      </c>
      <c r="AK74">
        <v>2133</v>
      </c>
    </row>
    <row r="75" spans="2:37">
      <c r="B75">
        <v>170</v>
      </c>
      <c r="C75">
        <v>0</v>
      </c>
      <c r="D75">
        <v>0</v>
      </c>
      <c r="E75">
        <v>0</v>
      </c>
      <c r="F75">
        <v>0</v>
      </c>
      <c r="G75">
        <v>0</v>
      </c>
      <c r="H75">
        <v>0</v>
      </c>
      <c r="J75">
        <v>0</v>
      </c>
      <c r="K75">
        <v>0</v>
      </c>
      <c r="L75">
        <v>0</v>
      </c>
      <c r="M75">
        <v>0</v>
      </c>
      <c r="N75">
        <v>152</v>
      </c>
      <c r="O75">
        <v>0</v>
      </c>
      <c r="P75">
        <v>0</v>
      </c>
      <c r="Q75">
        <v>0</v>
      </c>
      <c r="R75">
        <v>261</v>
      </c>
      <c r="S75">
        <v>380</v>
      </c>
      <c r="U75">
        <v>0</v>
      </c>
      <c r="V75">
        <v>0</v>
      </c>
      <c r="W75">
        <v>0</v>
      </c>
      <c r="X75">
        <v>0</v>
      </c>
      <c r="Y75">
        <v>0</v>
      </c>
      <c r="Z75">
        <v>0</v>
      </c>
      <c r="AA75">
        <v>0</v>
      </c>
      <c r="AB75">
        <v>0</v>
      </c>
      <c r="AC75">
        <v>0</v>
      </c>
      <c r="AD75">
        <v>312</v>
      </c>
      <c r="AE75">
        <v>0</v>
      </c>
      <c r="AF75">
        <v>0</v>
      </c>
      <c r="AG75">
        <v>0</v>
      </c>
      <c r="AH75">
        <v>0</v>
      </c>
      <c r="AI75">
        <v>0</v>
      </c>
      <c r="AK75">
        <v>1105</v>
      </c>
    </row>
    <row r="76" spans="2:37">
      <c r="B76">
        <v>175</v>
      </c>
      <c r="C76">
        <v>0</v>
      </c>
      <c r="D76">
        <v>0</v>
      </c>
      <c r="E76">
        <v>0</v>
      </c>
      <c r="F76">
        <v>0</v>
      </c>
      <c r="G76">
        <v>0</v>
      </c>
      <c r="H76">
        <v>0</v>
      </c>
      <c r="J76">
        <v>0</v>
      </c>
      <c r="K76">
        <v>0</v>
      </c>
      <c r="L76">
        <v>0</v>
      </c>
      <c r="M76">
        <v>0</v>
      </c>
      <c r="N76">
        <v>0</v>
      </c>
      <c r="O76">
        <v>0</v>
      </c>
      <c r="P76">
        <v>0</v>
      </c>
      <c r="Q76">
        <v>0</v>
      </c>
      <c r="R76">
        <v>261</v>
      </c>
      <c r="S76">
        <v>0</v>
      </c>
      <c r="U76">
        <v>0</v>
      </c>
      <c r="V76">
        <v>0</v>
      </c>
      <c r="W76">
        <v>0</v>
      </c>
      <c r="X76">
        <v>144</v>
      </c>
      <c r="Y76">
        <v>0</v>
      </c>
      <c r="Z76">
        <v>0</v>
      </c>
      <c r="AA76">
        <v>0</v>
      </c>
      <c r="AB76">
        <v>0</v>
      </c>
      <c r="AC76">
        <v>0</v>
      </c>
      <c r="AD76">
        <v>0</v>
      </c>
      <c r="AE76">
        <v>0</v>
      </c>
      <c r="AF76">
        <v>0</v>
      </c>
      <c r="AG76">
        <v>0</v>
      </c>
      <c r="AH76">
        <v>0</v>
      </c>
      <c r="AI76">
        <v>0</v>
      </c>
      <c r="AK76">
        <v>405</v>
      </c>
    </row>
    <row r="77" spans="2:37">
      <c r="B77">
        <v>180</v>
      </c>
      <c r="C77">
        <v>0</v>
      </c>
      <c r="D77">
        <v>0</v>
      </c>
      <c r="E77">
        <v>376</v>
      </c>
      <c r="F77">
        <v>88</v>
      </c>
      <c r="G77">
        <v>1014</v>
      </c>
      <c r="H77">
        <v>120</v>
      </c>
      <c r="J77">
        <v>0</v>
      </c>
      <c r="K77">
        <v>0</v>
      </c>
      <c r="L77">
        <v>0</v>
      </c>
      <c r="M77">
        <v>0</v>
      </c>
      <c r="N77">
        <v>189</v>
      </c>
      <c r="O77">
        <v>531</v>
      </c>
      <c r="P77">
        <v>0</v>
      </c>
      <c r="Q77">
        <v>0</v>
      </c>
      <c r="R77">
        <v>0</v>
      </c>
      <c r="S77">
        <v>0</v>
      </c>
      <c r="U77">
        <v>369</v>
      </c>
      <c r="V77">
        <v>0</v>
      </c>
      <c r="W77">
        <v>0</v>
      </c>
      <c r="X77">
        <v>0</v>
      </c>
      <c r="Y77">
        <v>0</v>
      </c>
      <c r="Z77">
        <v>0</v>
      </c>
      <c r="AA77">
        <v>1551</v>
      </c>
      <c r="AB77">
        <v>0</v>
      </c>
      <c r="AC77">
        <v>0</v>
      </c>
      <c r="AD77">
        <v>0</v>
      </c>
      <c r="AE77">
        <v>0</v>
      </c>
      <c r="AF77">
        <v>690</v>
      </c>
      <c r="AG77">
        <v>0</v>
      </c>
      <c r="AH77">
        <v>0</v>
      </c>
      <c r="AI77">
        <v>456</v>
      </c>
      <c r="AK77">
        <v>5384</v>
      </c>
    </row>
    <row r="78" spans="2:37">
      <c r="B78">
        <v>190</v>
      </c>
      <c r="C78">
        <v>0</v>
      </c>
      <c r="D78">
        <v>0</v>
      </c>
      <c r="E78">
        <v>0</v>
      </c>
      <c r="F78">
        <v>0</v>
      </c>
      <c r="G78">
        <v>466</v>
      </c>
      <c r="H78">
        <v>0</v>
      </c>
      <c r="J78">
        <v>0</v>
      </c>
      <c r="K78">
        <v>0</v>
      </c>
      <c r="L78">
        <v>0</v>
      </c>
      <c r="M78">
        <v>0</v>
      </c>
      <c r="N78">
        <v>0</v>
      </c>
      <c r="O78">
        <v>0</v>
      </c>
      <c r="P78">
        <v>0</v>
      </c>
      <c r="Q78">
        <v>0</v>
      </c>
      <c r="R78">
        <v>0</v>
      </c>
      <c r="S78">
        <v>0</v>
      </c>
      <c r="U78">
        <v>0</v>
      </c>
      <c r="V78">
        <v>0</v>
      </c>
      <c r="W78">
        <v>0</v>
      </c>
      <c r="X78">
        <v>0</v>
      </c>
      <c r="Y78">
        <v>0</v>
      </c>
      <c r="Z78">
        <v>0</v>
      </c>
      <c r="AA78">
        <v>0</v>
      </c>
      <c r="AB78">
        <v>0</v>
      </c>
      <c r="AC78">
        <v>0</v>
      </c>
      <c r="AD78">
        <v>0</v>
      </c>
      <c r="AE78">
        <v>0</v>
      </c>
      <c r="AF78">
        <v>0</v>
      </c>
      <c r="AG78">
        <v>0</v>
      </c>
      <c r="AH78">
        <v>0</v>
      </c>
      <c r="AI78">
        <v>0</v>
      </c>
      <c r="AK78">
        <v>466</v>
      </c>
    </row>
    <row r="79" spans="2:37">
      <c r="B79">
        <v>200</v>
      </c>
      <c r="C79">
        <v>5825</v>
      </c>
      <c r="D79">
        <v>10009</v>
      </c>
      <c r="E79">
        <v>5730</v>
      </c>
      <c r="F79">
        <v>3332</v>
      </c>
      <c r="G79">
        <v>28172</v>
      </c>
      <c r="H79">
        <v>4776</v>
      </c>
      <c r="J79">
        <v>15368</v>
      </c>
      <c r="K79">
        <v>8237</v>
      </c>
      <c r="L79">
        <v>5727</v>
      </c>
      <c r="M79">
        <v>14494</v>
      </c>
      <c r="N79">
        <v>8601</v>
      </c>
      <c r="O79">
        <v>33934</v>
      </c>
      <c r="P79">
        <v>18137</v>
      </c>
      <c r="Q79">
        <v>20374</v>
      </c>
      <c r="R79">
        <v>11056</v>
      </c>
      <c r="S79">
        <v>8296</v>
      </c>
      <c r="U79">
        <v>22291</v>
      </c>
      <c r="V79">
        <v>8628</v>
      </c>
      <c r="W79">
        <v>28871</v>
      </c>
      <c r="X79">
        <v>5612</v>
      </c>
      <c r="Y79">
        <v>11204</v>
      </c>
      <c r="Z79">
        <v>3637</v>
      </c>
      <c r="AA79">
        <v>13302</v>
      </c>
      <c r="AB79">
        <v>10607</v>
      </c>
      <c r="AC79">
        <v>5351</v>
      </c>
      <c r="AD79">
        <v>32169</v>
      </c>
      <c r="AE79">
        <v>18241</v>
      </c>
      <c r="AF79">
        <v>12546</v>
      </c>
      <c r="AG79">
        <v>4668</v>
      </c>
      <c r="AH79">
        <v>1607</v>
      </c>
      <c r="AI79">
        <v>3395</v>
      </c>
      <c r="AK79">
        <v>384197</v>
      </c>
    </row>
    <row r="80" spans="2:37">
      <c r="B80">
        <v>210</v>
      </c>
      <c r="C80">
        <v>131</v>
      </c>
      <c r="D80">
        <v>0</v>
      </c>
      <c r="E80">
        <v>0</v>
      </c>
      <c r="F80">
        <v>0</v>
      </c>
      <c r="G80">
        <v>0</v>
      </c>
      <c r="H80">
        <v>212</v>
      </c>
      <c r="J80">
        <v>1486</v>
      </c>
      <c r="K80">
        <v>0</v>
      </c>
      <c r="L80">
        <v>0</v>
      </c>
      <c r="M80">
        <v>0</v>
      </c>
      <c r="N80">
        <v>346</v>
      </c>
      <c r="O80">
        <v>551</v>
      </c>
      <c r="P80">
        <v>0</v>
      </c>
      <c r="Q80">
        <v>0</v>
      </c>
      <c r="R80">
        <v>0</v>
      </c>
      <c r="S80">
        <v>778</v>
      </c>
      <c r="U80">
        <v>733</v>
      </c>
      <c r="V80">
        <v>0</v>
      </c>
      <c r="W80">
        <v>0</v>
      </c>
      <c r="X80">
        <v>322</v>
      </c>
      <c r="Y80">
        <v>179</v>
      </c>
      <c r="Z80">
        <v>0</v>
      </c>
      <c r="AA80">
        <v>0</v>
      </c>
      <c r="AB80">
        <v>0</v>
      </c>
      <c r="AC80">
        <v>0</v>
      </c>
      <c r="AD80">
        <v>0</v>
      </c>
      <c r="AE80">
        <v>0</v>
      </c>
      <c r="AF80">
        <v>490</v>
      </c>
      <c r="AG80">
        <v>0</v>
      </c>
      <c r="AH80">
        <v>120</v>
      </c>
      <c r="AI80">
        <v>1160</v>
      </c>
      <c r="AK80">
        <v>6508</v>
      </c>
    </row>
    <row r="81" spans="2:37">
      <c r="B81">
        <v>220</v>
      </c>
      <c r="C81">
        <v>0</v>
      </c>
      <c r="D81">
        <v>128</v>
      </c>
      <c r="E81">
        <v>0</v>
      </c>
      <c r="F81">
        <v>0</v>
      </c>
      <c r="G81">
        <v>1665</v>
      </c>
      <c r="H81">
        <v>49</v>
      </c>
      <c r="J81">
        <v>0</v>
      </c>
      <c r="K81">
        <v>0</v>
      </c>
      <c r="L81">
        <v>0</v>
      </c>
      <c r="M81">
        <v>171</v>
      </c>
      <c r="N81">
        <v>0</v>
      </c>
      <c r="O81">
        <v>501</v>
      </c>
      <c r="P81">
        <v>0</v>
      </c>
      <c r="Q81">
        <v>531</v>
      </c>
      <c r="R81">
        <v>0</v>
      </c>
      <c r="S81">
        <v>0</v>
      </c>
      <c r="U81">
        <v>0</v>
      </c>
      <c r="V81">
        <v>0</v>
      </c>
      <c r="W81">
        <v>0</v>
      </c>
      <c r="X81">
        <v>0</v>
      </c>
      <c r="Y81">
        <v>0</v>
      </c>
      <c r="Z81">
        <v>0</v>
      </c>
      <c r="AA81">
        <v>900</v>
      </c>
      <c r="AB81">
        <v>0</v>
      </c>
      <c r="AC81">
        <v>0</v>
      </c>
      <c r="AD81">
        <v>0</v>
      </c>
      <c r="AE81">
        <v>0</v>
      </c>
      <c r="AF81">
        <v>0</v>
      </c>
      <c r="AG81">
        <v>0</v>
      </c>
      <c r="AH81">
        <v>0</v>
      </c>
      <c r="AI81">
        <v>1104</v>
      </c>
      <c r="AK81">
        <v>5049</v>
      </c>
    </row>
    <row r="82" spans="2:37">
      <c r="B82">
        <v>225</v>
      </c>
      <c r="C82">
        <v>0</v>
      </c>
      <c r="D82">
        <v>0</v>
      </c>
      <c r="E82">
        <v>0</v>
      </c>
      <c r="F82">
        <v>0</v>
      </c>
      <c r="G82">
        <v>0</v>
      </c>
      <c r="H82">
        <v>103</v>
      </c>
      <c r="J82">
        <v>0</v>
      </c>
      <c r="K82">
        <v>0</v>
      </c>
      <c r="L82">
        <v>0</v>
      </c>
      <c r="M82">
        <v>0</v>
      </c>
      <c r="N82">
        <v>0</v>
      </c>
      <c r="O82">
        <v>0</v>
      </c>
      <c r="P82">
        <v>0</v>
      </c>
      <c r="Q82">
        <v>0</v>
      </c>
      <c r="R82">
        <v>0</v>
      </c>
      <c r="S82">
        <v>0</v>
      </c>
      <c r="U82">
        <v>0</v>
      </c>
      <c r="V82">
        <v>0</v>
      </c>
      <c r="W82">
        <v>0</v>
      </c>
      <c r="X82">
        <v>0</v>
      </c>
      <c r="Y82">
        <v>0</v>
      </c>
      <c r="Z82">
        <v>0</v>
      </c>
      <c r="AA82">
        <v>0</v>
      </c>
      <c r="AB82">
        <v>0</v>
      </c>
      <c r="AC82">
        <v>0</v>
      </c>
      <c r="AD82">
        <v>0</v>
      </c>
      <c r="AE82">
        <v>0</v>
      </c>
      <c r="AF82">
        <v>0</v>
      </c>
      <c r="AG82">
        <v>0</v>
      </c>
      <c r="AH82">
        <v>0</v>
      </c>
      <c r="AI82">
        <v>0</v>
      </c>
      <c r="AK82">
        <v>103</v>
      </c>
    </row>
    <row r="83" spans="2:37">
      <c r="B83">
        <v>230</v>
      </c>
      <c r="C83">
        <v>0</v>
      </c>
      <c r="D83">
        <v>0</v>
      </c>
      <c r="E83">
        <v>0</v>
      </c>
      <c r="F83">
        <v>107</v>
      </c>
      <c r="G83">
        <v>431</v>
      </c>
      <c r="H83">
        <v>42</v>
      </c>
      <c r="J83">
        <v>0</v>
      </c>
      <c r="K83">
        <v>0</v>
      </c>
      <c r="L83">
        <v>0</v>
      </c>
      <c r="M83">
        <v>0</v>
      </c>
      <c r="N83">
        <v>0</v>
      </c>
      <c r="O83">
        <v>270</v>
      </c>
      <c r="P83">
        <v>0</v>
      </c>
      <c r="Q83">
        <v>0</v>
      </c>
      <c r="R83">
        <v>0</v>
      </c>
      <c r="S83">
        <v>0</v>
      </c>
      <c r="U83">
        <v>0</v>
      </c>
      <c r="V83">
        <v>0</v>
      </c>
      <c r="W83">
        <v>0</v>
      </c>
      <c r="X83">
        <v>0</v>
      </c>
      <c r="Y83">
        <v>0</v>
      </c>
      <c r="Z83">
        <v>0</v>
      </c>
      <c r="AA83">
        <v>0</v>
      </c>
      <c r="AB83">
        <v>0</v>
      </c>
      <c r="AC83">
        <v>0</v>
      </c>
      <c r="AD83">
        <v>0</v>
      </c>
      <c r="AE83">
        <v>0</v>
      </c>
      <c r="AF83">
        <v>0</v>
      </c>
      <c r="AG83">
        <v>0</v>
      </c>
      <c r="AH83">
        <v>0</v>
      </c>
      <c r="AI83">
        <v>0</v>
      </c>
      <c r="AK83">
        <v>850</v>
      </c>
    </row>
    <row r="84" spans="2:37">
      <c r="B84">
        <v>240</v>
      </c>
      <c r="C84">
        <v>0</v>
      </c>
      <c r="D84">
        <v>0</v>
      </c>
      <c r="E84">
        <v>0</v>
      </c>
      <c r="F84">
        <v>0</v>
      </c>
      <c r="G84">
        <v>543</v>
      </c>
      <c r="H84">
        <v>97</v>
      </c>
      <c r="J84">
        <v>169</v>
      </c>
      <c r="K84">
        <v>0</v>
      </c>
      <c r="L84">
        <v>0</v>
      </c>
      <c r="M84">
        <v>0</v>
      </c>
      <c r="N84">
        <v>0</v>
      </c>
      <c r="O84">
        <v>561</v>
      </c>
      <c r="P84">
        <v>0</v>
      </c>
      <c r="Q84">
        <v>0</v>
      </c>
      <c r="R84">
        <v>335</v>
      </c>
      <c r="S84">
        <v>222</v>
      </c>
      <c r="U84">
        <v>0</v>
      </c>
      <c r="V84">
        <v>0</v>
      </c>
      <c r="W84">
        <v>0</v>
      </c>
      <c r="X84">
        <v>0</v>
      </c>
      <c r="Y84">
        <v>0</v>
      </c>
      <c r="Z84">
        <v>0</v>
      </c>
      <c r="AA84">
        <v>252</v>
      </c>
      <c r="AB84">
        <v>0</v>
      </c>
      <c r="AC84">
        <v>0</v>
      </c>
      <c r="AD84">
        <v>0</v>
      </c>
      <c r="AE84">
        <v>125</v>
      </c>
      <c r="AF84">
        <v>0</v>
      </c>
      <c r="AG84">
        <v>0</v>
      </c>
      <c r="AH84">
        <v>0</v>
      </c>
      <c r="AI84">
        <v>0</v>
      </c>
      <c r="AK84">
        <v>2304</v>
      </c>
    </row>
    <row r="85" spans="2:37">
      <c r="B85">
        <v>250</v>
      </c>
      <c r="C85">
        <v>713</v>
      </c>
      <c r="D85">
        <v>1838</v>
      </c>
      <c r="E85">
        <v>1606</v>
      </c>
      <c r="F85">
        <v>1182</v>
      </c>
      <c r="G85">
        <v>11208</v>
      </c>
      <c r="H85">
        <v>687</v>
      </c>
      <c r="J85">
        <v>2258</v>
      </c>
      <c r="K85">
        <v>2489</v>
      </c>
      <c r="L85">
        <v>2166</v>
      </c>
      <c r="M85">
        <v>3549</v>
      </c>
      <c r="N85">
        <v>2519</v>
      </c>
      <c r="O85">
        <v>5611</v>
      </c>
      <c r="P85">
        <v>3206</v>
      </c>
      <c r="Q85">
        <v>3424</v>
      </c>
      <c r="R85">
        <v>5029</v>
      </c>
      <c r="S85">
        <v>5175</v>
      </c>
      <c r="U85">
        <v>2879</v>
      </c>
      <c r="V85">
        <v>1794</v>
      </c>
      <c r="W85">
        <v>4469</v>
      </c>
      <c r="X85">
        <v>1541</v>
      </c>
      <c r="Y85">
        <v>1945</v>
      </c>
      <c r="Z85">
        <v>561</v>
      </c>
      <c r="AA85">
        <v>3269</v>
      </c>
      <c r="AB85">
        <v>2776</v>
      </c>
      <c r="AC85">
        <v>1910</v>
      </c>
      <c r="AD85">
        <v>4102</v>
      </c>
      <c r="AE85">
        <v>2896</v>
      </c>
      <c r="AF85">
        <v>3720</v>
      </c>
      <c r="AG85">
        <v>445</v>
      </c>
      <c r="AH85">
        <v>363</v>
      </c>
      <c r="AI85">
        <v>1083</v>
      </c>
      <c r="AK85">
        <v>86413</v>
      </c>
    </row>
    <row r="86" spans="2:37">
      <c r="B86">
        <v>255</v>
      </c>
      <c r="C86">
        <v>0</v>
      </c>
      <c r="D86">
        <v>0</v>
      </c>
      <c r="E86">
        <v>0</v>
      </c>
      <c r="F86">
        <v>0</v>
      </c>
      <c r="G86">
        <v>0</v>
      </c>
      <c r="H86">
        <v>0</v>
      </c>
      <c r="J86">
        <v>0</v>
      </c>
      <c r="K86">
        <v>0</v>
      </c>
      <c r="L86">
        <v>0</v>
      </c>
      <c r="M86">
        <v>0</v>
      </c>
      <c r="N86">
        <v>0</v>
      </c>
      <c r="O86">
        <v>0</v>
      </c>
      <c r="P86">
        <v>0</v>
      </c>
      <c r="Q86">
        <v>0</v>
      </c>
      <c r="R86">
        <v>0</v>
      </c>
      <c r="S86">
        <v>0</v>
      </c>
      <c r="U86">
        <v>0</v>
      </c>
      <c r="V86">
        <v>0</v>
      </c>
      <c r="W86">
        <v>0</v>
      </c>
      <c r="X86">
        <v>0</v>
      </c>
      <c r="Y86">
        <v>0</v>
      </c>
      <c r="Z86">
        <v>0</v>
      </c>
      <c r="AA86">
        <v>0</v>
      </c>
      <c r="AB86">
        <v>0</v>
      </c>
      <c r="AC86">
        <v>0</v>
      </c>
      <c r="AD86">
        <v>0</v>
      </c>
      <c r="AE86">
        <v>0</v>
      </c>
      <c r="AF86">
        <v>183</v>
      </c>
      <c r="AG86">
        <v>0</v>
      </c>
      <c r="AH86">
        <v>0</v>
      </c>
      <c r="AI86">
        <v>0</v>
      </c>
      <c r="AK86">
        <v>183</v>
      </c>
    </row>
    <row r="87" spans="2:37">
      <c r="B87">
        <v>260</v>
      </c>
      <c r="C87">
        <v>0</v>
      </c>
      <c r="D87">
        <v>0</v>
      </c>
      <c r="E87">
        <v>0</v>
      </c>
      <c r="F87">
        <v>0</v>
      </c>
      <c r="G87">
        <v>0</v>
      </c>
      <c r="H87">
        <v>0</v>
      </c>
      <c r="J87">
        <v>0</v>
      </c>
      <c r="K87">
        <v>0</v>
      </c>
      <c r="L87">
        <v>0</v>
      </c>
      <c r="M87">
        <v>0</v>
      </c>
      <c r="N87">
        <v>0</v>
      </c>
      <c r="O87">
        <v>580</v>
      </c>
      <c r="P87">
        <v>0</v>
      </c>
      <c r="Q87">
        <v>0</v>
      </c>
      <c r="R87">
        <v>0</v>
      </c>
      <c r="S87">
        <v>0</v>
      </c>
      <c r="U87">
        <v>0</v>
      </c>
      <c r="V87">
        <v>0</v>
      </c>
      <c r="W87">
        <v>0</v>
      </c>
      <c r="X87">
        <v>0</v>
      </c>
      <c r="Y87">
        <v>0</v>
      </c>
      <c r="Z87">
        <v>0</v>
      </c>
      <c r="AA87">
        <v>0</v>
      </c>
      <c r="AB87">
        <v>0</v>
      </c>
      <c r="AC87">
        <v>0</v>
      </c>
      <c r="AD87">
        <v>0</v>
      </c>
      <c r="AE87">
        <v>0</v>
      </c>
      <c r="AF87">
        <v>0</v>
      </c>
      <c r="AG87">
        <v>0</v>
      </c>
      <c r="AH87">
        <v>0</v>
      </c>
      <c r="AI87">
        <v>0</v>
      </c>
      <c r="AK87">
        <v>580</v>
      </c>
    </row>
    <row r="88" spans="2:37">
      <c r="B88">
        <v>270</v>
      </c>
      <c r="C88">
        <v>0</v>
      </c>
      <c r="D88">
        <v>0</v>
      </c>
      <c r="E88">
        <v>0</v>
      </c>
      <c r="F88">
        <v>111</v>
      </c>
      <c r="G88">
        <v>510</v>
      </c>
      <c r="H88">
        <v>0</v>
      </c>
      <c r="J88">
        <v>0</v>
      </c>
      <c r="K88">
        <v>0</v>
      </c>
      <c r="L88">
        <v>0</v>
      </c>
      <c r="M88">
        <v>0</v>
      </c>
      <c r="N88">
        <v>0</v>
      </c>
      <c r="O88">
        <v>0</v>
      </c>
      <c r="P88">
        <v>0</v>
      </c>
      <c r="Q88">
        <v>0</v>
      </c>
      <c r="R88">
        <v>0</v>
      </c>
      <c r="S88">
        <v>0</v>
      </c>
      <c r="U88">
        <v>0</v>
      </c>
      <c r="V88">
        <v>0</v>
      </c>
      <c r="W88">
        <v>0</v>
      </c>
      <c r="X88">
        <v>0</v>
      </c>
      <c r="Y88">
        <v>0</v>
      </c>
      <c r="Z88">
        <v>0</v>
      </c>
      <c r="AA88">
        <v>1076</v>
      </c>
      <c r="AB88">
        <v>0</v>
      </c>
      <c r="AC88">
        <v>0</v>
      </c>
      <c r="AD88">
        <v>0</v>
      </c>
      <c r="AE88">
        <v>0</v>
      </c>
      <c r="AF88">
        <v>0</v>
      </c>
      <c r="AG88">
        <v>0</v>
      </c>
      <c r="AH88">
        <v>80</v>
      </c>
      <c r="AI88">
        <v>0</v>
      </c>
      <c r="AK88">
        <v>1777</v>
      </c>
    </row>
    <row r="89" spans="2:37">
      <c r="B89">
        <v>280</v>
      </c>
      <c r="C89">
        <v>0</v>
      </c>
      <c r="D89">
        <v>0</v>
      </c>
      <c r="E89">
        <v>0</v>
      </c>
      <c r="F89">
        <v>0</v>
      </c>
      <c r="G89">
        <v>2033</v>
      </c>
      <c r="H89">
        <v>1410</v>
      </c>
      <c r="J89">
        <v>0</v>
      </c>
      <c r="K89">
        <v>170</v>
      </c>
      <c r="L89">
        <v>0</v>
      </c>
      <c r="M89">
        <v>526</v>
      </c>
      <c r="N89">
        <v>202</v>
      </c>
      <c r="O89">
        <v>1366</v>
      </c>
      <c r="P89">
        <v>1076</v>
      </c>
      <c r="Q89">
        <v>0</v>
      </c>
      <c r="R89">
        <v>661</v>
      </c>
      <c r="S89">
        <v>1455</v>
      </c>
      <c r="U89">
        <v>1713</v>
      </c>
      <c r="V89">
        <v>0</v>
      </c>
      <c r="W89">
        <v>0</v>
      </c>
      <c r="X89">
        <v>344</v>
      </c>
      <c r="Y89">
        <v>0</v>
      </c>
      <c r="Z89">
        <v>0</v>
      </c>
      <c r="AA89">
        <v>356</v>
      </c>
      <c r="AB89">
        <v>354</v>
      </c>
      <c r="AC89">
        <v>184</v>
      </c>
      <c r="AD89">
        <v>0</v>
      </c>
      <c r="AE89">
        <v>328</v>
      </c>
      <c r="AF89">
        <v>739</v>
      </c>
      <c r="AG89">
        <v>0</v>
      </c>
      <c r="AH89">
        <v>0</v>
      </c>
      <c r="AI89">
        <v>1104</v>
      </c>
      <c r="AK89">
        <v>14021</v>
      </c>
    </row>
    <row r="90" spans="2:37">
      <c r="B90">
        <v>290</v>
      </c>
      <c r="C90">
        <v>0</v>
      </c>
      <c r="D90">
        <v>0</v>
      </c>
      <c r="E90">
        <v>0</v>
      </c>
      <c r="F90">
        <v>0</v>
      </c>
      <c r="G90">
        <v>0</v>
      </c>
      <c r="H90">
        <v>0</v>
      </c>
      <c r="J90">
        <v>0</v>
      </c>
      <c r="K90">
        <v>0</v>
      </c>
      <c r="L90">
        <v>0</v>
      </c>
      <c r="M90">
        <v>0</v>
      </c>
      <c r="N90">
        <v>0</v>
      </c>
      <c r="O90">
        <v>0</v>
      </c>
      <c r="P90">
        <v>0</v>
      </c>
      <c r="Q90">
        <v>0</v>
      </c>
      <c r="R90">
        <v>0</v>
      </c>
      <c r="S90">
        <v>0</v>
      </c>
      <c r="U90">
        <v>0</v>
      </c>
      <c r="V90">
        <v>0</v>
      </c>
      <c r="W90">
        <v>0</v>
      </c>
      <c r="X90">
        <v>0</v>
      </c>
      <c r="Y90">
        <v>0</v>
      </c>
      <c r="Z90">
        <v>0</v>
      </c>
      <c r="AA90">
        <v>0</v>
      </c>
      <c r="AB90">
        <v>0</v>
      </c>
      <c r="AC90">
        <v>0</v>
      </c>
      <c r="AD90">
        <v>0</v>
      </c>
      <c r="AE90">
        <v>0</v>
      </c>
      <c r="AF90">
        <v>0</v>
      </c>
      <c r="AG90">
        <v>0</v>
      </c>
      <c r="AH90">
        <v>0</v>
      </c>
      <c r="AI90">
        <v>1104</v>
      </c>
      <c r="AK90">
        <v>1104</v>
      </c>
    </row>
    <row r="91" spans="2:37">
      <c r="B91">
        <v>300</v>
      </c>
      <c r="C91">
        <v>5899</v>
      </c>
      <c r="D91">
        <v>8621</v>
      </c>
      <c r="E91">
        <v>4225</v>
      </c>
      <c r="F91">
        <v>5061</v>
      </c>
      <c r="G91">
        <v>30307</v>
      </c>
      <c r="H91">
        <v>3579</v>
      </c>
      <c r="J91">
        <v>14459</v>
      </c>
      <c r="K91">
        <v>6734</v>
      </c>
      <c r="L91">
        <v>6099</v>
      </c>
      <c r="M91">
        <v>14770</v>
      </c>
      <c r="N91">
        <v>7665</v>
      </c>
      <c r="O91">
        <v>14468</v>
      </c>
      <c r="P91">
        <v>11567</v>
      </c>
      <c r="Q91">
        <v>21721</v>
      </c>
      <c r="R91">
        <v>20480</v>
      </c>
      <c r="S91">
        <v>17381</v>
      </c>
      <c r="U91">
        <v>29676</v>
      </c>
      <c r="V91">
        <v>15632</v>
      </c>
      <c r="W91">
        <v>17459</v>
      </c>
      <c r="X91">
        <v>6557</v>
      </c>
      <c r="Y91">
        <v>10663</v>
      </c>
      <c r="Z91">
        <v>3525</v>
      </c>
      <c r="AA91">
        <v>25143</v>
      </c>
      <c r="AB91">
        <v>13043</v>
      </c>
      <c r="AC91">
        <v>10800</v>
      </c>
      <c r="AD91">
        <v>17640</v>
      </c>
      <c r="AE91">
        <v>9127</v>
      </c>
      <c r="AF91">
        <v>13201</v>
      </c>
      <c r="AG91">
        <v>4631</v>
      </c>
      <c r="AH91">
        <v>2102</v>
      </c>
      <c r="AI91">
        <v>5047</v>
      </c>
      <c r="AK91">
        <v>377282</v>
      </c>
    </row>
    <row r="92" spans="2:37">
      <c r="B92">
        <v>310</v>
      </c>
      <c r="C92">
        <v>0</v>
      </c>
      <c r="D92">
        <v>0</v>
      </c>
      <c r="E92">
        <v>0</v>
      </c>
      <c r="F92">
        <v>0</v>
      </c>
      <c r="G92">
        <v>0</v>
      </c>
      <c r="H92">
        <v>0</v>
      </c>
      <c r="J92">
        <v>0</v>
      </c>
      <c r="K92">
        <v>0</v>
      </c>
      <c r="L92">
        <v>0</v>
      </c>
      <c r="M92">
        <v>0</v>
      </c>
      <c r="N92">
        <v>0</v>
      </c>
      <c r="O92">
        <v>0</v>
      </c>
      <c r="P92">
        <v>0</v>
      </c>
      <c r="Q92">
        <v>0</v>
      </c>
      <c r="R92">
        <v>0</v>
      </c>
      <c r="S92">
        <v>0</v>
      </c>
      <c r="U92">
        <v>0</v>
      </c>
      <c r="V92">
        <v>0</v>
      </c>
      <c r="W92">
        <v>0</v>
      </c>
      <c r="X92">
        <v>0</v>
      </c>
      <c r="Y92">
        <v>0</v>
      </c>
      <c r="Z92">
        <v>0</v>
      </c>
      <c r="AA92">
        <v>933</v>
      </c>
      <c r="AB92">
        <v>0</v>
      </c>
      <c r="AC92">
        <v>0</v>
      </c>
      <c r="AD92">
        <v>0</v>
      </c>
      <c r="AE92">
        <v>0</v>
      </c>
      <c r="AF92">
        <v>0</v>
      </c>
      <c r="AG92">
        <v>0</v>
      </c>
      <c r="AH92">
        <v>0</v>
      </c>
      <c r="AI92">
        <v>0</v>
      </c>
      <c r="AK92">
        <v>933</v>
      </c>
    </row>
    <row r="93" spans="2:37">
      <c r="B93">
        <v>315</v>
      </c>
      <c r="C93">
        <v>0</v>
      </c>
      <c r="D93">
        <v>0</v>
      </c>
      <c r="E93">
        <v>0</v>
      </c>
      <c r="F93">
        <v>0</v>
      </c>
      <c r="G93">
        <v>0</v>
      </c>
      <c r="H93">
        <v>0</v>
      </c>
      <c r="J93">
        <v>0</v>
      </c>
      <c r="K93">
        <v>0</v>
      </c>
      <c r="L93">
        <v>0</v>
      </c>
      <c r="M93">
        <v>294</v>
      </c>
      <c r="N93">
        <v>0</v>
      </c>
      <c r="O93">
        <v>0</v>
      </c>
      <c r="P93">
        <v>0</v>
      </c>
      <c r="Q93">
        <v>0</v>
      </c>
      <c r="R93">
        <v>0</v>
      </c>
      <c r="S93">
        <v>0</v>
      </c>
      <c r="U93">
        <v>0</v>
      </c>
      <c r="V93">
        <v>0</v>
      </c>
      <c r="W93">
        <v>0</v>
      </c>
      <c r="X93">
        <v>0</v>
      </c>
      <c r="Y93">
        <v>0</v>
      </c>
      <c r="Z93">
        <v>0</v>
      </c>
      <c r="AA93">
        <v>0</v>
      </c>
      <c r="AB93">
        <v>0</v>
      </c>
      <c r="AC93">
        <v>0</v>
      </c>
      <c r="AD93">
        <v>0</v>
      </c>
      <c r="AE93">
        <v>0</v>
      </c>
      <c r="AF93">
        <v>0</v>
      </c>
      <c r="AG93">
        <v>0</v>
      </c>
      <c r="AH93">
        <v>0</v>
      </c>
      <c r="AI93">
        <v>0</v>
      </c>
      <c r="AK93">
        <v>294</v>
      </c>
    </row>
    <row r="94" spans="2:37">
      <c r="B94">
        <v>320</v>
      </c>
      <c r="C94">
        <v>0</v>
      </c>
      <c r="D94">
        <v>0</v>
      </c>
      <c r="E94">
        <v>0</v>
      </c>
      <c r="F94">
        <v>0</v>
      </c>
      <c r="G94">
        <v>0</v>
      </c>
      <c r="H94">
        <v>46</v>
      </c>
      <c r="J94">
        <v>0</v>
      </c>
      <c r="K94">
        <v>0</v>
      </c>
      <c r="L94">
        <v>0</v>
      </c>
      <c r="M94">
        <v>0</v>
      </c>
      <c r="N94">
        <v>0</v>
      </c>
      <c r="O94">
        <v>0</v>
      </c>
      <c r="P94">
        <v>0</v>
      </c>
      <c r="Q94">
        <v>0</v>
      </c>
      <c r="R94">
        <v>0</v>
      </c>
      <c r="S94">
        <v>322</v>
      </c>
      <c r="U94">
        <v>0</v>
      </c>
      <c r="V94">
        <v>0</v>
      </c>
      <c r="W94">
        <v>0</v>
      </c>
      <c r="X94">
        <v>0</v>
      </c>
      <c r="Y94">
        <v>85</v>
      </c>
      <c r="Z94">
        <v>0</v>
      </c>
      <c r="AA94">
        <v>1113</v>
      </c>
      <c r="AB94">
        <v>0</v>
      </c>
      <c r="AC94">
        <v>0</v>
      </c>
      <c r="AD94">
        <v>0</v>
      </c>
      <c r="AE94">
        <v>0</v>
      </c>
      <c r="AF94">
        <v>183</v>
      </c>
      <c r="AG94">
        <v>0</v>
      </c>
      <c r="AH94">
        <v>0</v>
      </c>
      <c r="AI94">
        <v>633</v>
      </c>
      <c r="AK94">
        <v>2382</v>
      </c>
    </row>
    <row r="95" spans="2:37">
      <c r="B95">
        <v>330</v>
      </c>
      <c r="C95">
        <v>0</v>
      </c>
      <c r="D95">
        <v>0</v>
      </c>
      <c r="E95">
        <v>0</v>
      </c>
      <c r="F95">
        <v>0</v>
      </c>
      <c r="G95">
        <v>0</v>
      </c>
      <c r="H95">
        <v>0</v>
      </c>
      <c r="J95">
        <v>0</v>
      </c>
      <c r="K95">
        <v>0</v>
      </c>
      <c r="L95">
        <v>0</v>
      </c>
      <c r="M95">
        <v>0</v>
      </c>
      <c r="N95">
        <v>0</v>
      </c>
      <c r="O95">
        <v>0</v>
      </c>
      <c r="P95">
        <v>0</v>
      </c>
      <c r="Q95">
        <v>0</v>
      </c>
      <c r="R95">
        <v>309</v>
      </c>
      <c r="S95">
        <v>0</v>
      </c>
      <c r="U95">
        <v>0</v>
      </c>
      <c r="V95">
        <v>0</v>
      </c>
      <c r="W95">
        <v>0</v>
      </c>
      <c r="X95">
        <v>0</v>
      </c>
      <c r="Y95">
        <v>0</v>
      </c>
      <c r="Z95">
        <v>0</v>
      </c>
      <c r="AA95">
        <v>0</v>
      </c>
      <c r="AB95">
        <v>0</v>
      </c>
      <c r="AC95">
        <v>0</v>
      </c>
      <c r="AD95">
        <v>0</v>
      </c>
      <c r="AE95">
        <v>0</v>
      </c>
      <c r="AF95">
        <v>0</v>
      </c>
      <c r="AG95">
        <v>0</v>
      </c>
      <c r="AH95">
        <v>0</v>
      </c>
      <c r="AI95">
        <v>0</v>
      </c>
      <c r="AK95">
        <v>309</v>
      </c>
    </row>
    <row r="96" spans="2:37">
      <c r="B96">
        <v>340</v>
      </c>
      <c r="C96">
        <v>0</v>
      </c>
      <c r="D96">
        <v>0</v>
      </c>
      <c r="E96">
        <v>0</v>
      </c>
      <c r="F96">
        <v>0</v>
      </c>
      <c r="G96">
        <v>0</v>
      </c>
      <c r="H96">
        <v>0</v>
      </c>
      <c r="J96">
        <v>0</v>
      </c>
      <c r="K96">
        <v>0</v>
      </c>
      <c r="L96">
        <v>0</v>
      </c>
      <c r="M96">
        <v>0</v>
      </c>
      <c r="N96">
        <v>0</v>
      </c>
      <c r="O96">
        <v>0</v>
      </c>
      <c r="P96">
        <v>0</v>
      </c>
      <c r="Q96">
        <v>0</v>
      </c>
      <c r="R96">
        <v>0</v>
      </c>
      <c r="S96">
        <v>0</v>
      </c>
      <c r="U96">
        <v>0</v>
      </c>
      <c r="V96">
        <v>0</v>
      </c>
      <c r="W96">
        <v>0</v>
      </c>
      <c r="X96">
        <v>0</v>
      </c>
      <c r="Y96">
        <v>264</v>
      </c>
      <c r="Z96">
        <v>0</v>
      </c>
      <c r="AA96">
        <v>0</v>
      </c>
      <c r="AB96">
        <v>0</v>
      </c>
      <c r="AC96">
        <v>0</v>
      </c>
      <c r="AD96">
        <v>287</v>
      </c>
      <c r="AE96">
        <v>0</v>
      </c>
      <c r="AF96">
        <v>105</v>
      </c>
      <c r="AG96">
        <v>0</v>
      </c>
      <c r="AH96">
        <v>0</v>
      </c>
      <c r="AI96">
        <v>0</v>
      </c>
      <c r="AK96">
        <v>656</v>
      </c>
    </row>
    <row r="97" spans="2:37">
      <c r="B97">
        <v>350</v>
      </c>
      <c r="C97">
        <v>764</v>
      </c>
      <c r="D97">
        <v>1000</v>
      </c>
      <c r="E97">
        <v>1310</v>
      </c>
      <c r="F97">
        <v>988</v>
      </c>
      <c r="G97">
        <v>9019</v>
      </c>
      <c r="H97">
        <v>1212</v>
      </c>
      <c r="J97">
        <v>6584</v>
      </c>
      <c r="K97">
        <v>877</v>
      </c>
      <c r="L97">
        <v>1933</v>
      </c>
      <c r="M97">
        <v>3496</v>
      </c>
      <c r="N97">
        <v>978</v>
      </c>
      <c r="O97">
        <v>8708</v>
      </c>
      <c r="P97">
        <v>2753</v>
      </c>
      <c r="Q97">
        <v>1757</v>
      </c>
      <c r="R97">
        <v>1868</v>
      </c>
      <c r="S97">
        <v>10300</v>
      </c>
      <c r="U97">
        <v>6521</v>
      </c>
      <c r="V97">
        <v>4735</v>
      </c>
      <c r="W97">
        <v>3173</v>
      </c>
      <c r="X97">
        <v>1668</v>
      </c>
      <c r="Y97">
        <v>2613</v>
      </c>
      <c r="Z97">
        <v>0</v>
      </c>
      <c r="AA97">
        <v>1042</v>
      </c>
      <c r="AB97">
        <v>3266</v>
      </c>
      <c r="AC97">
        <v>2163</v>
      </c>
      <c r="AD97">
        <v>2472</v>
      </c>
      <c r="AE97">
        <v>1509</v>
      </c>
      <c r="AF97">
        <v>1708</v>
      </c>
      <c r="AG97">
        <v>150</v>
      </c>
      <c r="AH97">
        <v>149</v>
      </c>
      <c r="AI97">
        <v>667</v>
      </c>
      <c r="AK97">
        <v>85383</v>
      </c>
    </row>
    <row r="98" spans="2:37">
      <c r="B98">
        <v>360</v>
      </c>
      <c r="C98">
        <v>0</v>
      </c>
      <c r="D98">
        <v>55</v>
      </c>
      <c r="E98">
        <v>0</v>
      </c>
      <c r="F98">
        <v>0</v>
      </c>
      <c r="G98">
        <v>0</v>
      </c>
      <c r="H98">
        <v>0</v>
      </c>
      <c r="J98">
        <v>844</v>
      </c>
      <c r="K98">
        <v>0</v>
      </c>
      <c r="L98">
        <v>0</v>
      </c>
      <c r="M98">
        <v>0</v>
      </c>
      <c r="N98">
        <v>0</v>
      </c>
      <c r="O98">
        <v>0</v>
      </c>
      <c r="P98">
        <v>0</v>
      </c>
      <c r="Q98">
        <v>0</v>
      </c>
      <c r="R98">
        <v>606</v>
      </c>
      <c r="S98">
        <v>190</v>
      </c>
      <c r="U98">
        <v>0</v>
      </c>
      <c r="V98">
        <v>0</v>
      </c>
      <c r="W98">
        <v>0</v>
      </c>
      <c r="X98">
        <v>0</v>
      </c>
      <c r="Y98">
        <v>0</v>
      </c>
      <c r="Z98">
        <v>0</v>
      </c>
      <c r="AA98">
        <v>0</v>
      </c>
      <c r="AB98">
        <v>0</v>
      </c>
      <c r="AC98">
        <v>0</v>
      </c>
      <c r="AD98">
        <v>0</v>
      </c>
      <c r="AE98">
        <v>0</v>
      </c>
      <c r="AF98">
        <v>0</v>
      </c>
      <c r="AG98">
        <v>0</v>
      </c>
      <c r="AH98">
        <v>0</v>
      </c>
      <c r="AI98">
        <v>771</v>
      </c>
      <c r="AK98">
        <v>2466</v>
      </c>
    </row>
    <row r="99" spans="2:37">
      <c r="B99">
        <v>370</v>
      </c>
      <c r="C99">
        <v>0</v>
      </c>
      <c r="D99">
        <v>0</v>
      </c>
      <c r="E99">
        <v>0</v>
      </c>
      <c r="F99">
        <v>0</v>
      </c>
      <c r="G99">
        <v>0</v>
      </c>
      <c r="H99">
        <v>0</v>
      </c>
      <c r="J99">
        <v>0</v>
      </c>
      <c r="K99">
        <v>0</v>
      </c>
      <c r="L99">
        <v>0</v>
      </c>
      <c r="M99">
        <v>0</v>
      </c>
      <c r="N99">
        <v>0</v>
      </c>
      <c r="O99">
        <v>0</v>
      </c>
      <c r="P99">
        <v>0</v>
      </c>
      <c r="Q99">
        <v>328</v>
      </c>
      <c r="R99">
        <v>0</v>
      </c>
      <c r="S99">
        <v>0</v>
      </c>
      <c r="U99">
        <v>0</v>
      </c>
      <c r="V99">
        <v>0</v>
      </c>
      <c r="W99">
        <v>0</v>
      </c>
      <c r="X99">
        <v>0</v>
      </c>
      <c r="Y99">
        <v>0</v>
      </c>
      <c r="Z99">
        <v>0</v>
      </c>
      <c r="AA99">
        <v>0</v>
      </c>
      <c r="AB99">
        <v>0</v>
      </c>
      <c r="AC99">
        <v>0</v>
      </c>
      <c r="AD99">
        <v>0</v>
      </c>
      <c r="AE99">
        <v>0</v>
      </c>
      <c r="AF99">
        <v>0</v>
      </c>
      <c r="AG99">
        <v>0</v>
      </c>
      <c r="AH99">
        <v>0</v>
      </c>
      <c r="AI99">
        <v>945</v>
      </c>
      <c r="AK99">
        <v>1273</v>
      </c>
    </row>
    <row r="100" spans="2:37">
      <c r="B100">
        <v>375</v>
      </c>
      <c r="C100">
        <v>0</v>
      </c>
      <c r="D100">
        <v>0</v>
      </c>
      <c r="E100">
        <v>0</v>
      </c>
      <c r="F100">
        <v>0</v>
      </c>
      <c r="G100">
        <v>0</v>
      </c>
      <c r="H100">
        <v>0</v>
      </c>
      <c r="J100">
        <v>249</v>
      </c>
      <c r="K100">
        <v>0</v>
      </c>
      <c r="L100">
        <v>0</v>
      </c>
      <c r="M100">
        <v>294</v>
      </c>
      <c r="N100">
        <v>0</v>
      </c>
      <c r="O100">
        <v>0</v>
      </c>
      <c r="P100">
        <v>0</v>
      </c>
      <c r="Q100">
        <v>0</v>
      </c>
      <c r="R100">
        <v>0</v>
      </c>
      <c r="S100">
        <v>0</v>
      </c>
      <c r="U100">
        <v>0</v>
      </c>
      <c r="V100">
        <v>0</v>
      </c>
      <c r="W100">
        <v>0</v>
      </c>
      <c r="X100">
        <v>0</v>
      </c>
      <c r="Y100">
        <v>0</v>
      </c>
      <c r="Z100">
        <v>0</v>
      </c>
      <c r="AA100">
        <v>370</v>
      </c>
      <c r="AB100">
        <v>0</v>
      </c>
      <c r="AC100">
        <v>0</v>
      </c>
      <c r="AD100">
        <v>0</v>
      </c>
      <c r="AE100">
        <v>0</v>
      </c>
      <c r="AF100">
        <v>0</v>
      </c>
      <c r="AG100">
        <v>0</v>
      </c>
      <c r="AH100">
        <v>0</v>
      </c>
      <c r="AI100">
        <v>0</v>
      </c>
      <c r="AK100">
        <v>913</v>
      </c>
    </row>
    <row r="101" spans="2:37">
      <c r="B101">
        <v>380</v>
      </c>
      <c r="C101">
        <v>0</v>
      </c>
      <c r="D101">
        <v>0</v>
      </c>
      <c r="E101">
        <v>95</v>
      </c>
      <c r="F101">
        <v>0</v>
      </c>
      <c r="G101">
        <v>0</v>
      </c>
      <c r="H101">
        <v>72</v>
      </c>
      <c r="J101">
        <v>0</v>
      </c>
      <c r="K101">
        <v>0</v>
      </c>
      <c r="L101">
        <v>0</v>
      </c>
      <c r="M101">
        <v>483</v>
      </c>
      <c r="N101">
        <v>0</v>
      </c>
      <c r="O101">
        <v>561</v>
      </c>
      <c r="P101">
        <v>157</v>
      </c>
      <c r="Q101">
        <v>0</v>
      </c>
      <c r="R101">
        <v>0</v>
      </c>
      <c r="S101">
        <v>190</v>
      </c>
      <c r="U101">
        <v>0</v>
      </c>
      <c r="V101">
        <v>0</v>
      </c>
      <c r="W101">
        <v>0</v>
      </c>
      <c r="X101">
        <v>0</v>
      </c>
      <c r="Y101">
        <v>0</v>
      </c>
      <c r="Z101">
        <v>0</v>
      </c>
      <c r="AA101">
        <v>0</v>
      </c>
      <c r="AB101">
        <v>0</v>
      </c>
      <c r="AC101">
        <v>0</v>
      </c>
      <c r="AD101">
        <v>0</v>
      </c>
      <c r="AE101">
        <v>0</v>
      </c>
      <c r="AF101">
        <v>0</v>
      </c>
      <c r="AG101">
        <v>0</v>
      </c>
      <c r="AH101">
        <v>0</v>
      </c>
      <c r="AI101">
        <v>1438</v>
      </c>
      <c r="AK101">
        <v>2996</v>
      </c>
    </row>
    <row r="102" spans="2:37">
      <c r="B102">
        <v>390</v>
      </c>
      <c r="C102">
        <v>0</v>
      </c>
      <c r="D102">
        <v>0</v>
      </c>
      <c r="E102">
        <v>0</v>
      </c>
      <c r="F102">
        <v>0</v>
      </c>
      <c r="G102">
        <v>0</v>
      </c>
      <c r="H102">
        <v>0</v>
      </c>
      <c r="J102">
        <v>0</v>
      </c>
      <c r="K102">
        <v>0</v>
      </c>
      <c r="L102">
        <v>0</v>
      </c>
      <c r="M102">
        <v>0</v>
      </c>
      <c r="N102">
        <v>0</v>
      </c>
      <c r="O102">
        <v>0</v>
      </c>
      <c r="P102">
        <v>0</v>
      </c>
      <c r="Q102">
        <v>0</v>
      </c>
      <c r="R102">
        <v>345</v>
      </c>
      <c r="S102">
        <v>0</v>
      </c>
      <c r="U102">
        <v>0</v>
      </c>
      <c r="V102">
        <v>0</v>
      </c>
      <c r="W102">
        <v>0</v>
      </c>
      <c r="X102">
        <v>0</v>
      </c>
      <c r="Y102">
        <v>0</v>
      </c>
      <c r="Z102">
        <v>0</v>
      </c>
      <c r="AA102">
        <v>0</v>
      </c>
      <c r="AB102">
        <v>0</v>
      </c>
      <c r="AC102">
        <v>0</v>
      </c>
      <c r="AD102">
        <v>0</v>
      </c>
      <c r="AE102">
        <v>0</v>
      </c>
      <c r="AF102">
        <v>0</v>
      </c>
      <c r="AG102">
        <v>0</v>
      </c>
      <c r="AH102">
        <v>0</v>
      </c>
      <c r="AI102">
        <v>0</v>
      </c>
      <c r="AK102">
        <v>345</v>
      </c>
    </row>
    <row r="103" spans="2:37">
      <c r="B103">
        <v>400</v>
      </c>
      <c r="C103">
        <v>2008</v>
      </c>
      <c r="D103">
        <v>3592</v>
      </c>
      <c r="E103">
        <v>5856</v>
      </c>
      <c r="F103">
        <v>4140</v>
      </c>
      <c r="G103">
        <v>11709</v>
      </c>
      <c r="H103">
        <v>1897</v>
      </c>
      <c r="J103">
        <v>6847</v>
      </c>
      <c r="K103">
        <v>6500</v>
      </c>
      <c r="L103">
        <v>3767</v>
      </c>
      <c r="M103">
        <v>6889</v>
      </c>
      <c r="N103">
        <v>6214</v>
      </c>
      <c r="O103">
        <v>9205</v>
      </c>
      <c r="P103">
        <v>7539</v>
      </c>
      <c r="Q103">
        <v>15430</v>
      </c>
      <c r="R103">
        <v>10974</v>
      </c>
      <c r="S103">
        <v>8331</v>
      </c>
      <c r="U103">
        <v>20872</v>
      </c>
      <c r="V103">
        <v>16038</v>
      </c>
      <c r="W103">
        <v>7052</v>
      </c>
      <c r="X103">
        <v>2364</v>
      </c>
      <c r="Y103">
        <v>5512</v>
      </c>
      <c r="Z103">
        <v>1662</v>
      </c>
      <c r="AA103">
        <v>13773</v>
      </c>
      <c r="AB103">
        <v>12476</v>
      </c>
      <c r="AC103">
        <v>8763</v>
      </c>
      <c r="AD103">
        <v>3677</v>
      </c>
      <c r="AE103">
        <v>3120</v>
      </c>
      <c r="AF103">
        <v>7848</v>
      </c>
      <c r="AG103">
        <v>3256</v>
      </c>
      <c r="AH103">
        <v>735</v>
      </c>
      <c r="AI103">
        <v>4342</v>
      </c>
      <c r="AK103">
        <v>222388</v>
      </c>
    </row>
    <row r="104" spans="2:37">
      <c r="B104">
        <v>420</v>
      </c>
      <c r="C104">
        <v>0</v>
      </c>
      <c r="D104">
        <v>0</v>
      </c>
      <c r="E104">
        <v>0</v>
      </c>
      <c r="F104">
        <v>240</v>
      </c>
      <c r="G104">
        <v>0</v>
      </c>
      <c r="H104">
        <v>385</v>
      </c>
      <c r="J104">
        <v>1042</v>
      </c>
      <c r="K104">
        <v>0</v>
      </c>
      <c r="L104">
        <v>0</v>
      </c>
      <c r="M104">
        <v>1052</v>
      </c>
      <c r="N104">
        <v>105</v>
      </c>
      <c r="O104">
        <v>0</v>
      </c>
      <c r="P104">
        <v>0</v>
      </c>
      <c r="Q104">
        <v>0</v>
      </c>
      <c r="R104">
        <v>0</v>
      </c>
      <c r="S104">
        <v>339</v>
      </c>
      <c r="U104">
        <v>0</v>
      </c>
      <c r="V104">
        <v>0</v>
      </c>
      <c r="W104">
        <v>244</v>
      </c>
      <c r="X104">
        <v>0</v>
      </c>
      <c r="Y104">
        <v>493</v>
      </c>
      <c r="Z104">
        <v>0</v>
      </c>
      <c r="AA104">
        <v>645</v>
      </c>
      <c r="AB104">
        <v>364</v>
      </c>
      <c r="AC104">
        <v>0</v>
      </c>
      <c r="AD104">
        <v>0</v>
      </c>
      <c r="AE104">
        <v>158</v>
      </c>
      <c r="AF104">
        <v>0</v>
      </c>
      <c r="AG104">
        <v>0</v>
      </c>
      <c r="AH104">
        <v>116</v>
      </c>
      <c r="AI104">
        <v>1809</v>
      </c>
      <c r="AK104">
        <v>6992</v>
      </c>
    </row>
    <row r="105" spans="2:37">
      <c r="B105">
        <v>440</v>
      </c>
      <c r="C105">
        <v>0</v>
      </c>
      <c r="D105">
        <v>0</v>
      </c>
      <c r="E105">
        <v>0</v>
      </c>
      <c r="F105">
        <v>0</v>
      </c>
      <c r="G105">
        <v>0</v>
      </c>
      <c r="H105">
        <v>0</v>
      </c>
      <c r="J105">
        <v>0</v>
      </c>
      <c r="K105">
        <v>0</v>
      </c>
      <c r="L105">
        <v>0</v>
      </c>
      <c r="M105">
        <v>0</v>
      </c>
      <c r="N105">
        <v>0</v>
      </c>
      <c r="O105">
        <v>0</v>
      </c>
      <c r="P105">
        <v>0</v>
      </c>
      <c r="Q105">
        <v>0</v>
      </c>
      <c r="R105">
        <v>0</v>
      </c>
      <c r="S105">
        <v>0</v>
      </c>
      <c r="U105">
        <v>0</v>
      </c>
      <c r="V105">
        <v>0</v>
      </c>
      <c r="W105">
        <v>0</v>
      </c>
      <c r="X105">
        <v>0</v>
      </c>
      <c r="Y105">
        <v>0</v>
      </c>
      <c r="Z105">
        <v>0</v>
      </c>
      <c r="AA105">
        <v>0</v>
      </c>
      <c r="AB105">
        <v>0</v>
      </c>
      <c r="AC105">
        <v>0</v>
      </c>
      <c r="AD105">
        <v>0</v>
      </c>
      <c r="AE105">
        <v>0</v>
      </c>
      <c r="AF105">
        <v>0</v>
      </c>
      <c r="AG105">
        <v>0</v>
      </c>
      <c r="AH105">
        <v>0</v>
      </c>
      <c r="AI105">
        <v>771</v>
      </c>
      <c r="AK105">
        <v>771</v>
      </c>
    </row>
    <row r="106" spans="2:37">
      <c r="B106">
        <v>450</v>
      </c>
      <c r="C106">
        <v>0</v>
      </c>
      <c r="D106">
        <v>407</v>
      </c>
      <c r="E106">
        <v>1009</v>
      </c>
      <c r="F106">
        <v>815</v>
      </c>
      <c r="G106">
        <v>1573</v>
      </c>
      <c r="H106">
        <v>48</v>
      </c>
      <c r="J106">
        <v>229</v>
      </c>
      <c r="K106">
        <v>2553</v>
      </c>
      <c r="L106">
        <v>917</v>
      </c>
      <c r="M106">
        <v>1504</v>
      </c>
      <c r="N106">
        <v>321</v>
      </c>
      <c r="O106">
        <v>5557</v>
      </c>
      <c r="P106">
        <v>530</v>
      </c>
      <c r="Q106">
        <v>2435</v>
      </c>
      <c r="R106">
        <v>1307</v>
      </c>
      <c r="S106">
        <v>4123</v>
      </c>
      <c r="U106">
        <v>2342</v>
      </c>
      <c r="V106">
        <v>2798</v>
      </c>
      <c r="W106">
        <v>434</v>
      </c>
      <c r="X106">
        <v>0</v>
      </c>
      <c r="Y106">
        <v>1206</v>
      </c>
      <c r="Z106">
        <v>39</v>
      </c>
      <c r="AA106">
        <v>2366</v>
      </c>
      <c r="AB106">
        <v>3038</v>
      </c>
      <c r="AC106">
        <v>334</v>
      </c>
      <c r="AD106">
        <v>629</v>
      </c>
      <c r="AE106">
        <v>102</v>
      </c>
      <c r="AF106">
        <v>569</v>
      </c>
      <c r="AG106">
        <v>0</v>
      </c>
      <c r="AH106">
        <v>0</v>
      </c>
      <c r="AI106">
        <v>542</v>
      </c>
      <c r="AK106">
        <v>37727</v>
      </c>
    </row>
    <row r="107" spans="2:37">
      <c r="B107">
        <v>460</v>
      </c>
      <c r="C107">
        <v>0</v>
      </c>
      <c r="D107">
        <v>0</v>
      </c>
      <c r="E107">
        <v>180</v>
      </c>
      <c r="F107">
        <v>120</v>
      </c>
      <c r="G107">
        <v>0</v>
      </c>
      <c r="H107">
        <v>0</v>
      </c>
      <c r="J107">
        <v>0</v>
      </c>
      <c r="K107">
        <v>0</v>
      </c>
      <c r="L107">
        <v>0</v>
      </c>
      <c r="M107">
        <v>0</v>
      </c>
      <c r="N107">
        <v>0</v>
      </c>
      <c r="O107">
        <v>0</v>
      </c>
      <c r="P107">
        <v>0</v>
      </c>
      <c r="Q107">
        <v>0</v>
      </c>
      <c r="R107">
        <v>0</v>
      </c>
      <c r="S107">
        <v>0</v>
      </c>
      <c r="U107">
        <v>0</v>
      </c>
      <c r="V107">
        <v>0</v>
      </c>
      <c r="W107">
        <v>0</v>
      </c>
      <c r="X107">
        <v>0</v>
      </c>
      <c r="Y107">
        <v>0</v>
      </c>
      <c r="Z107">
        <v>0</v>
      </c>
      <c r="AA107">
        <v>0</v>
      </c>
      <c r="AB107">
        <v>0</v>
      </c>
      <c r="AC107">
        <v>0</v>
      </c>
      <c r="AD107">
        <v>0</v>
      </c>
      <c r="AE107">
        <v>0</v>
      </c>
      <c r="AF107">
        <v>0</v>
      </c>
      <c r="AG107">
        <v>0</v>
      </c>
      <c r="AH107">
        <v>0</v>
      </c>
      <c r="AI107">
        <v>310</v>
      </c>
      <c r="AK107">
        <v>610</v>
      </c>
    </row>
    <row r="108" spans="2:37">
      <c r="B108">
        <v>470</v>
      </c>
      <c r="C108">
        <v>0</v>
      </c>
      <c r="D108">
        <v>0</v>
      </c>
      <c r="E108">
        <v>211</v>
      </c>
      <c r="F108">
        <v>0</v>
      </c>
      <c r="G108">
        <v>0</v>
      </c>
      <c r="H108">
        <v>0</v>
      </c>
      <c r="J108">
        <v>0</v>
      </c>
      <c r="K108">
        <v>0</v>
      </c>
      <c r="L108">
        <v>0</v>
      </c>
      <c r="M108">
        <v>0</v>
      </c>
      <c r="N108">
        <v>0</v>
      </c>
      <c r="O108">
        <v>0</v>
      </c>
      <c r="P108">
        <v>0</v>
      </c>
      <c r="Q108">
        <v>0</v>
      </c>
      <c r="R108">
        <v>0</v>
      </c>
      <c r="S108">
        <v>0</v>
      </c>
      <c r="U108">
        <v>0</v>
      </c>
      <c r="V108">
        <v>0</v>
      </c>
      <c r="W108">
        <v>0</v>
      </c>
      <c r="X108">
        <v>0</v>
      </c>
      <c r="Y108">
        <v>0</v>
      </c>
      <c r="Z108">
        <v>0</v>
      </c>
      <c r="AA108">
        <v>0</v>
      </c>
      <c r="AB108">
        <v>0</v>
      </c>
      <c r="AC108">
        <v>0</v>
      </c>
      <c r="AD108">
        <v>0</v>
      </c>
      <c r="AE108">
        <v>0</v>
      </c>
      <c r="AF108">
        <v>0</v>
      </c>
      <c r="AG108">
        <v>0</v>
      </c>
      <c r="AH108">
        <v>0</v>
      </c>
      <c r="AI108">
        <v>456</v>
      </c>
      <c r="AK108">
        <v>667</v>
      </c>
    </row>
    <row r="109" spans="2:37">
      <c r="B109">
        <v>480</v>
      </c>
      <c r="C109">
        <v>0</v>
      </c>
      <c r="D109">
        <v>0</v>
      </c>
      <c r="E109">
        <v>0</v>
      </c>
      <c r="F109">
        <v>0</v>
      </c>
      <c r="G109">
        <v>0</v>
      </c>
      <c r="H109">
        <v>0</v>
      </c>
      <c r="J109">
        <v>0</v>
      </c>
      <c r="K109">
        <v>0</v>
      </c>
      <c r="L109">
        <v>0</v>
      </c>
      <c r="M109">
        <v>0</v>
      </c>
      <c r="N109">
        <v>0</v>
      </c>
      <c r="O109">
        <v>270</v>
      </c>
      <c r="P109">
        <v>0</v>
      </c>
      <c r="Q109">
        <v>0</v>
      </c>
      <c r="R109">
        <v>356</v>
      </c>
      <c r="S109">
        <v>0</v>
      </c>
      <c r="U109">
        <v>0</v>
      </c>
      <c r="V109">
        <v>0</v>
      </c>
      <c r="W109">
        <v>0</v>
      </c>
      <c r="X109">
        <v>0</v>
      </c>
      <c r="Y109">
        <v>0</v>
      </c>
      <c r="Z109">
        <v>0</v>
      </c>
      <c r="AA109">
        <v>243</v>
      </c>
      <c r="AB109">
        <v>0</v>
      </c>
      <c r="AC109">
        <v>0</v>
      </c>
      <c r="AD109">
        <v>0</v>
      </c>
      <c r="AE109">
        <v>0</v>
      </c>
      <c r="AF109">
        <v>0</v>
      </c>
      <c r="AG109">
        <v>0</v>
      </c>
      <c r="AH109">
        <v>0</v>
      </c>
      <c r="AI109">
        <v>0</v>
      </c>
      <c r="AK109">
        <v>869</v>
      </c>
    </row>
    <row r="110" spans="2:37">
      <c r="B110">
        <v>490</v>
      </c>
      <c r="C110">
        <v>0</v>
      </c>
      <c r="D110">
        <v>0</v>
      </c>
      <c r="E110">
        <v>0</v>
      </c>
      <c r="F110">
        <v>0</v>
      </c>
      <c r="G110">
        <v>0</v>
      </c>
      <c r="H110">
        <v>0</v>
      </c>
      <c r="J110">
        <v>995</v>
      </c>
      <c r="K110">
        <v>0</v>
      </c>
      <c r="L110">
        <v>0</v>
      </c>
      <c r="M110">
        <v>0</v>
      </c>
      <c r="N110">
        <v>0</v>
      </c>
      <c r="O110">
        <v>0</v>
      </c>
      <c r="P110">
        <v>0</v>
      </c>
      <c r="Q110">
        <v>0</v>
      </c>
      <c r="R110">
        <v>0</v>
      </c>
      <c r="S110">
        <v>1939</v>
      </c>
      <c r="U110">
        <v>0</v>
      </c>
      <c r="V110">
        <v>0</v>
      </c>
      <c r="W110">
        <v>0</v>
      </c>
      <c r="X110">
        <v>0</v>
      </c>
      <c r="Y110">
        <v>0</v>
      </c>
      <c r="Z110">
        <v>0</v>
      </c>
      <c r="AA110">
        <v>0</v>
      </c>
      <c r="AB110">
        <v>0</v>
      </c>
      <c r="AC110">
        <v>0</v>
      </c>
      <c r="AD110">
        <v>0</v>
      </c>
      <c r="AE110">
        <v>0</v>
      </c>
      <c r="AF110">
        <v>0</v>
      </c>
      <c r="AG110">
        <v>0</v>
      </c>
      <c r="AH110">
        <v>7</v>
      </c>
      <c r="AI110">
        <v>0</v>
      </c>
      <c r="AK110">
        <v>2941</v>
      </c>
    </row>
    <row r="111" spans="2:37">
      <c r="B111">
        <v>500</v>
      </c>
      <c r="C111">
        <v>2151</v>
      </c>
      <c r="D111">
        <v>6614</v>
      </c>
      <c r="E111">
        <v>7726</v>
      </c>
      <c r="F111">
        <v>5516</v>
      </c>
      <c r="G111">
        <v>10519</v>
      </c>
      <c r="H111">
        <v>2564</v>
      </c>
      <c r="J111">
        <v>25433</v>
      </c>
      <c r="K111">
        <v>9975</v>
      </c>
      <c r="L111">
        <v>6658</v>
      </c>
      <c r="M111">
        <v>23423</v>
      </c>
      <c r="N111">
        <v>9057</v>
      </c>
      <c r="O111">
        <v>27538</v>
      </c>
      <c r="P111">
        <v>12093</v>
      </c>
      <c r="Q111">
        <v>19096</v>
      </c>
      <c r="R111">
        <v>19951</v>
      </c>
      <c r="S111">
        <v>13216</v>
      </c>
      <c r="U111">
        <v>23758</v>
      </c>
      <c r="V111">
        <v>15021</v>
      </c>
      <c r="W111">
        <v>24924</v>
      </c>
      <c r="X111">
        <v>19577</v>
      </c>
      <c r="Y111">
        <v>21929</v>
      </c>
      <c r="Z111">
        <v>3936</v>
      </c>
      <c r="AA111">
        <v>27309</v>
      </c>
      <c r="AB111">
        <v>28567</v>
      </c>
      <c r="AC111">
        <v>15947</v>
      </c>
      <c r="AD111">
        <v>10803</v>
      </c>
      <c r="AE111">
        <v>4229</v>
      </c>
      <c r="AF111">
        <v>10328</v>
      </c>
      <c r="AG111">
        <v>4028</v>
      </c>
      <c r="AH111">
        <v>2261</v>
      </c>
      <c r="AI111">
        <v>8802</v>
      </c>
      <c r="AK111">
        <v>422949</v>
      </c>
    </row>
    <row r="112" spans="2:37">
      <c r="B112">
        <v>540</v>
      </c>
      <c r="C112">
        <v>0</v>
      </c>
      <c r="D112">
        <v>0</v>
      </c>
      <c r="E112">
        <v>0</v>
      </c>
      <c r="F112">
        <v>0</v>
      </c>
      <c r="G112">
        <v>0</v>
      </c>
      <c r="H112">
        <v>0</v>
      </c>
      <c r="J112">
        <v>0</v>
      </c>
      <c r="K112">
        <v>0</v>
      </c>
      <c r="L112">
        <v>0</v>
      </c>
      <c r="M112">
        <v>0</v>
      </c>
      <c r="N112">
        <v>0</v>
      </c>
      <c r="O112">
        <v>1031</v>
      </c>
      <c r="P112">
        <v>0</v>
      </c>
      <c r="Q112">
        <v>0</v>
      </c>
      <c r="R112">
        <v>0</v>
      </c>
      <c r="S112">
        <v>0</v>
      </c>
      <c r="U112">
        <v>0</v>
      </c>
      <c r="V112">
        <v>0</v>
      </c>
      <c r="W112">
        <v>0</v>
      </c>
      <c r="X112">
        <v>0</v>
      </c>
      <c r="Y112">
        <v>0</v>
      </c>
      <c r="Z112">
        <v>0</v>
      </c>
      <c r="AA112">
        <v>0</v>
      </c>
      <c r="AB112">
        <v>0</v>
      </c>
      <c r="AC112">
        <v>0</v>
      </c>
      <c r="AD112">
        <v>0</v>
      </c>
      <c r="AE112">
        <v>0</v>
      </c>
      <c r="AF112">
        <v>0</v>
      </c>
      <c r="AG112">
        <v>0</v>
      </c>
      <c r="AH112">
        <v>0</v>
      </c>
      <c r="AI112">
        <v>0</v>
      </c>
      <c r="AK112">
        <v>1031</v>
      </c>
    </row>
    <row r="113" spans="2:37">
      <c r="B113">
        <v>550</v>
      </c>
      <c r="C113">
        <v>0</v>
      </c>
      <c r="D113">
        <v>0</v>
      </c>
      <c r="E113">
        <v>113</v>
      </c>
      <c r="F113">
        <v>145</v>
      </c>
      <c r="G113">
        <v>0</v>
      </c>
      <c r="H113">
        <v>202</v>
      </c>
      <c r="J113">
        <v>0</v>
      </c>
      <c r="K113">
        <v>464</v>
      </c>
      <c r="L113">
        <v>298</v>
      </c>
      <c r="M113">
        <v>410</v>
      </c>
      <c r="N113">
        <v>189</v>
      </c>
      <c r="O113">
        <v>6412</v>
      </c>
      <c r="P113">
        <v>812</v>
      </c>
      <c r="Q113">
        <v>0</v>
      </c>
      <c r="R113">
        <v>0</v>
      </c>
      <c r="S113">
        <v>243</v>
      </c>
      <c r="U113">
        <v>0</v>
      </c>
      <c r="V113">
        <v>302</v>
      </c>
      <c r="W113">
        <v>740</v>
      </c>
      <c r="X113">
        <v>174</v>
      </c>
      <c r="Y113">
        <v>955</v>
      </c>
      <c r="Z113">
        <v>0</v>
      </c>
      <c r="AA113">
        <v>0</v>
      </c>
      <c r="AB113">
        <v>666</v>
      </c>
      <c r="AC113">
        <v>168</v>
      </c>
      <c r="AD113">
        <v>312</v>
      </c>
      <c r="AE113">
        <v>0</v>
      </c>
      <c r="AF113">
        <v>205</v>
      </c>
      <c r="AG113">
        <v>0</v>
      </c>
      <c r="AH113">
        <v>40</v>
      </c>
      <c r="AI113">
        <v>510</v>
      </c>
      <c r="AK113">
        <v>13360</v>
      </c>
    </row>
    <row r="114" spans="2:37">
      <c r="B114">
        <v>560</v>
      </c>
      <c r="C114">
        <v>0</v>
      </c>
      <c r="D114">
        <v>0</v>
      </c>
      <c r="E114">
        <v>87</v>
      </c>
      <c r="F114">
        <v>224</v>
      </c>
      <c r="G114">
        <v>0</v>
      </c>
      <c r="H114">
        <v>147</v>
      </c>
      <c r="J114">
        <v>0</v>
      </c>
      <c r="K114">
        <v>0</v>
      </c>
      <c r="L114">
        <v>0</v>
      </c>
      <c r="M114">
        <v>0</v>
      </c>
      <c r="N114">
        <v>0</v>
      </c>
      <c r="O114">
        <v>2448</v>
      </c>
      <c r="P114">
        <v>880</v>
      </c>
      <c r="Q114">
        <v>0</v>
      </c>
      <c r="R114">
        <v>0</v>
      </c>
      <c r="S114">
        <v>0</v>
      </c>
      <c r="U114">
        <v>0</v>
      </c>
      <c r="V114">
        <v>0</v>
      </c>
      <c r="W114">
        <v>0</v>
      </c>
      <c r="X114">
        <v>339</v>
      </c>
      <c r="Y114">
        <v>0</v>
      </c>
      <c r="Z114">
        <v>0</v>
      </c>
      <c r="AA114">
        <v>0</v>
      </c>
      <c r="AB114">
        <v>364</v>
      </c>
      <c r="AC114">
        <v>0</v>
      </c>
      <c r="AD114">
        <v>0</v>
      </c>
      <c r="AE114">
        <v>125</v>
      </c>
      <c r="AF114">
        <v>0</v>
      </c>
      <c r="AG114">
        <v>0</v>
      </c>
      <c r="AH114">
        <v>0</v>
      </c>
      <c r="AI114">
        <v>0</v>
      </c>
      <c r="AK114">
        <v>4614</v>
      </c>
    </row>
    <row r="115" spans="2:37">
      <c r="B115">
        <v>570</v>
      </c>
      <c r="C115">
        <v>0</v>
      </c>
      <c r="D115">
        <v>0</v>
      </c>
      <c r="E115">
        <v>87</v>
      </c>
      <c r="F115">
        <v>0</v>
      </c>
      <c r="G115">
        <v>0</v>
      </c>
      <c r="H115">
        <v>0</v>
      </c>
      <c r="J115">
        <v>0</v>
      </c>
      <c r="K115">
        <v>0</v>
      </c>
      <c r="L115">
        <v>0</v>
      </c>
      <c r="M115">
        <v>0</v>
      </c>
      <c r="N115">
        <v>0</v>
      </c>
      <c r="O115">
        <v>0</v>
      </c>
      <c r="P115">
        <v>0</v>
      </c>
      <c r="Q115">
        <v>0</v>
      </c>
      <c r="R115">
        <v>0</v>
      </c>
      <c r="S115">
        <v>0</v>
      </c>
      <c r="U115">
        <v>0</v>
      </c>
      <c r="V115">
        <v>0</v>
      </c>
      <c r="W115">
        <v>0</v>
      </c>
      <c r="X115">
        <v>0</v>
      </c>
      <c r="Y115">
        <v>0</v>
      </c>
      <c r="Z115">
        <v>0</v>
      </c>
      <c r="AA115">
        <v>0</v>
      </c>
      <c r="AB115">
        <v>0</v>
      </c>
      <c r="AC115">
        <v>0</v>
      </c>
      <c r="AD115">
        <v>0</v>
      </c>
      <c r="AE115">
        <v>0</v>
      </c>
      <c r="AF115">
        <v>0</v>
      </c>
      <c r="AG115">
        <v>0</v>
      </c>
      <c r="AH115">
        <v>0</v>
      </c>
      <c r="AI115">
        <v>0</v>
      </c>
      <c r="AK115">
        <v>87</v>
      </c>
    </row>
    <row r="116" spans="2:37">
      <c r="B116">
        <v>580</v>
      </c>
      <c r="C116">
        <v>0</v>
      </c>
      <c r="D116">
        <v>0</v>
      </c>
      <c r="E116">
        <v>0</v>
      </c>
      <c r="F116">
        <v>0</v>
      </c>
      <c r="G116">
        <v>0</v>
      </c>
      <c r="H116">
        <v>65</v>
      </c>
      <c r="J116">
        <v>0</v>
      </c>
      <c r="K116">
        <v>0</v>
      </c>
      <c r="L116">
        <v>124</v>
      </c>
      <c r="M116">
        <v>0</v>
      </c>
      <c r="N116">
        <v>0</v>
      </c>
      <c r="O116">
        <v>436</v>
      </c>
      <c r="P116">
        <v>0</v>
      </c>
      <c r="Q116">
        <v>0</v>
      </c>
      <c r="R116">
        <v>0</v>
      </c>
      <c r="S116">
        <v>0</v>
      </c>
      <c r="U116">
        <v>0</v>
      </c>
      <c r="V116">
        <v>0</v>
      </c>
      <c r="W116">
        <v>0</v>
      </c>
      <c r="X116">
        <v>0</v>
      </c>
      <c r="Y116">
        <v>136</v>
      </c>
      <c r="Z116">
        <v>0</v>
      </c>
      <c r="AA116">
        <v>0</v>
      </c>
      <c r="AB116">
        <v>0</v>
      </c>
      <c r="AC116">
        <v>0</v>
      </c>
      <c r="AD116">
        <v>0</v>
      </c>
      <c r="AE116">
        <v>0</v>
      </c>
      <c r="AF116">
        <v>0</v>
      </c>
      <c r="AG116">
        <v>0</v>
      </c>
      <c r="AH116">
        <v>0</v>
      </c>
      <c r="AI116">
        <v>0</v>
      </c>
      <c r="AK116">
        <v>761</v>
      </c>
    </row>
    <row r="117" spans="2:37">
      <c r="B117">
        <v>590</v>
      </c>
      <c r="C117">
        <v>0</v>
      </c>
      <c r="D117">
        <v>0</v>
      </c>
      <c r="E117">
        <v>0</v>
      </c>
      <c r="F117">
        <v>0</v>
      </c>
      <c r="G117">
        <v>0</v>
      </c>
      <c r="H117">
        <v>0</v>
      </c>
      <c r="J117">
        <v>0</v>
      </c>
      <c r="K117">
        <v>0</v>
      </c>
      <c r="L117">
        <v>0</v>
      </c>
      <c r="M117">
        <v>0</v>
      </c>
      <c r="N117">
        <v>0</v>
      </c>
      <c r="O117">
        <v>577</v>
      </c>
      <c r="P117">
        <v>0</v>
      </c>
      <c r="Q117">
        <v>0</v>
      </c>
      <c r="R117">
        <v>0</v>
      </c>
      <c r="S117">
        <v>0</v>
      </c>
      <c r="U117">
        <v>0</v>
      </c>
      <c r="V117">
        <v>0</v>
      </c>
      <c r="W117">
        <v>0</v>
      </c>
      <c r="X117">
        <v>0</v>
      </c>
      <c r="Y117">
        <v>0</v>
      </c>
      <c r="Z117">
        <v>0</v>
      </c>
      <c r="AA117">
        <v>0</v>
      </c>
      <c r="AB117">
        <v>0</v>
      </c>
      <c r="AC117">
        <v>0</v>
      </c>
      <c r="AD117">
        <v>0</v>
      </c>
      <c r="AE117">
        <v>0</v>
      </c>
      <c r="AF117">
        <v>0</v>
      </c>
      <c r="AG117">
        <v>0</v>
      </c>
      <c r="AH117">
        <v>0</v>
      </c>
      <c r="AI117">
        <v>0</v>
      </c>
      <c r="AK117">
        <v>577</v>
      </c>
    </row>
    <row r="118" spans="2:37">
      <c r="B118">
        <v>600</v>
      </c>
      <c r="C118">
        <v>291</v>
      </c>
      <c r="D118">
        <v>558</v>
      </c>
      <c r="E118">
        <v>1991</v>
      </c>
      <c r="F118">
        <v>2093</v>
      </c>
      <c r="G118">
        <v>3378</v>
      </c>
      <c r="H118">
        <v>927</v>
      </c>
      <c r="J118">
        <v>4888</v>
      </c>
      <c r="K118">
        <v>3891</v>
      </c>
      <c r="L118">
        <v>1495</v>
      </c>
      <c r="M118">
        <v>2504</v>
      </c>
      <c r="N118">
        <v>2826</v>
      </c>
      <c r="O118">
        <v>1235</v>
      </c>
      <c r="P118">
        <v>5468</v>
      </c>
      <c r="Q118">
        <v>3899</v>
      </c>
      <c r="R118">
        <v>9009</v>
      </c>
      <c r="S118">
        <v>4531</v>
      </c>
      <c r="U118">
        <v>3136</v>
      </c>
      <c r="V118">
        <v>6647</v>
      </c>
      <c r="W118">
        <v>1290</v>
      </c>
      <c r="X118">
        <v>2807</v>
      </c>
      <c r="Y118">
        <v>1556</v>
      </c>
      <c r="Z118">
        <v>298</v>
      </c>
      <c r="AA118">
        <v>9616</v>
      </c>
      <c r="AB118">
        <v>9864</v>
      </c>
      <c r="AC118">
        <v>6430</v>
      </c>
      <c r="AD118">
        <v>3131</v>
      </c>
      <c r="AE118">
        <v>2275</v>
      </c>
      <c r="AF118">
        <v>4628</v>
      </c>
      <c r="AG118">
        <v>238</v>
      </c>
      <c r="AH118">
        <v>634</v>
      </c>
      <c r="AI118">
        <v>3868</v>
      </c>
      <c r="AK118">
        <v>105402</v>
      </c>
    </row>
    <row r="119" spans="2:37">
      <c r="B119">
        <v>620</v>
      </c>
      <c r="C119">
        <v>0</v>
      </c>
      <c r="D119">
        <v>0</v>
      </c>
      <c r="E119">
        <v>0</v>
      </c>
      <c r="F119">
        <v>0</v>
      </c>
      <c r="G119">
        <v>0</v>
      </c>
      <c r="H119">
        <v>0</v>
      </c>
      <c r="J119">
        <v>0</v>
      </c>
      <c r="K119">
        <v>0</v>
      </c>
      <c r="L119">
        <v>0</v>
      </c>
      <c r="M119">
        <v>0</v>
      </c>
      <c r="N119">
        <v>0</v>
      </c>
      <c r="O119">
        <v>0</v>
      </c>
      <c r="P119">
        <v>0</v>
      </c>
      <c r="Q119">
        <v>0</v>
      </c>
      <c r="R119">
        <v>0</v>
      </c>
      <c r="S119">
        <v>0</v>
      </c>
      <c r="U119">
        <v>0</v>
      </c>
      <c r="V119">
        <v>0</v>
      </c>
      <c r="W119">
        <v>0</v>
      </c>
      <c r="X119">
        <v>0</v>
      </c>
      <c r="Y119">
        <v>0</v>
      </c>
      <c r="Z119">
        <v>0</v>
      </c>
      <c r="AA119">
        <v>327</v>
      </c>
      <c r="AB119">
        <v>0</v>
      </c>
      <c r="AC119">
        <v>154</v>
      </c>
      <c r="AD119">
        <v>0</v>
      </c>
      <c r="AE119">
        <v>0</v>
      </c>
      <c r="AF119">
        <v>0</v>
      </c>
      <c r="AG119">
        <v>0</v>
      </c>
      <c r="AH119">
        <v>0</v>
      </c>
      <c r="AI119">
        <v>0</v>
      </c>
      <c r="AK119">
        <v>481</v>
      </c>
    </row>
    <row r="120" spans="2:37">
      <c r="B120">
        <v>630</v>
      </c>
      <c r="C120">
        <v>0</v>
      </c>
      <c r="D120">
        <v>0</v>
      </c>
      <c r="E120">
        <v>0</v>
      </c>
      <c r="F120">
        <v>0</v>
      </c>
      <c r="G120">
        <v>0</v>
      </c>
      <c r="H120">
        <v>0</v>
      </c>
      <c r="J120">
        <v>0</v>
      </c>
      <c r="K120">
        <v>0</v>
      </c>
      <c r="L120">
        <v>0</v>
      </c>
      <c r="M120">
        <v>0</v>
      </c>
      <c r="N120">
        <v>0</v>
      </c>
      <c r="O120">
        <v>0</v>
      </c>
      <c r="P120">
        <v>0</v>
      </c>
      <c r="Q120">
        <v>0</v>
      </c>
      <c r="R120">
        <v>0</v>
      </c>
      <c r="S120">
        <v>0</v>
      </c>
      <c r="U120">
        <v>0</v>
      </c>
      <c r="V120">
        <v>0</v>
      </c>
      <c r="W120">
        <v>0</v>
      </c>
      <c r="X120">
        <v>0</v>
      </c>
      <c r="Y120">
        <v>0</v>
      </c>
      <c r="Z120">
        <v>0</v>
      </c>
      <c r="AA120">
        <v>0</v>
      </c>
      <c r="AB120">
        <v>0</v>
      </c>
      <c r="AC120">
        <v>0</v>
      </c>
      <c r="AD120">
        <v>0</v>
      </c>
      <c r="AE120">
        <v>0</v>
      </c>
      <c r="AF120">
        <v>0</v>
      </c>
      <c r="AG120">
        <v>0</v>
      </c>
      <c r="AH120">
        <v>84</v>
      </c>
      <c r="AI120">
        <v>0</v>
      </c>
      <c r="AK120">
        <v>84</v>
      </c>
    </row>
    <row r="121" spans="2:37">
      <c r="B121">
        <v>640</v>
      </c>
      <c r="C121">
        <v>0</v>
      </c>
      <c r="D121">
        <v>0</v>
      </c>
      <c r="E121">
        <v>0</v>
      </c>
      <c r="F121">
        <v>120</v>
      </c>
      <c r="G121">
        <v>0</v>
      </c>
      <c r="H121">
        <v>0</v>
      </c>
      <c r="J121">
        <v>0</v>
      </c>
      <c r="K121">
        <v>0</v>
      </c>
      <c r="L121">
        <v>0</v>
      </c>
      <c r="M121">
        <v>0</v>
      </c>
      <c r="N121">
        <v>0</v>
      </c>
      <c r="O121">
        <v>0</v>
      </c>
      <c r="P121">
        <v>0</v>
      </c>
      <c r="Q121">
        <v>0</v>
      </c>
      <c r="R121">
        <v>0</v>
      </c>
      <c r="S121">
        <v>0</v>
      </c>
      <c r="U121">
        <v>0</v>
      </c>
      <c r="V121">
        <v>0</v>
      </c>
      <c r="W121">
        <v>0</v>
      </c>
      <c r="X121">
        <v>0</v>
      </c>
      <c r="Y121">
        <v>0</v>
      </c>
      <c r="Z121">
        <v>0</v>
      </c>
      <c r="AA121">
        <v>0</v>
      </c>
      <c r="AB121">
        <v>0</v>
      </c>
      <c r="AC121">
        <v>0</v>
      </c>
      <c r="AD121">
        <v>0</v>
      </c>
      <c r="AE121">
        <v>0</v>
      </c>
      <c r="AF121">
        <v>0</v>
      </c>
      <c r="AG121">
        <v>0</v>
      </c>
      <c r="AH121">
        <v>0</v>
      </c>
      <c r="AI121">
        <v>0</v>
      </c>
      <c r="AK121">
        <v>120</v>
      </c>
    </row>
    <row r="122" spans="2:37">
      <c r="B122">
        <v>650</v>
      </c>
      <c r="C122">
        <v>0</v>
      </c>
      <c r="D122">
        <v>0</v>
      </c>
      <c r="E122">
        <v>0</v>
      </c>
      <c r="F122">
        <v>204</v>
      </c>
      <c r="G122">
        <v>860</v>
      </c>
      <c r="H122">
        <v>0</v>
      </c>
      <c r="J122">
        <v>1925</v>
      </c>
      <c r="K122">
        <v>168</v>
      </c>
      <c r="L122">
        <v>81</v>
      </c>
      <c r="M122">
        <v>0</v>
      </c>
      <c r="N122">
        <v>360</v>
      </c>
      <c r="O122">
        <v>0</v>
      </c>
      <c r="P122">
        <v>189</v>
      </c>
      <c r="Q122">
        <v>0</v>
      </c>
      <c r="R122">
        <v>0</v>
      </c>
      <c r="S122">
        <v>0</v>
      </c>
      <c r="U122">
        <v>706</v>
      </c>
      <c r="V122">
        <v>1032</v>
      </c>
      <c r="W122">
        <v>446</v>
      </c>
      <c r="X122">
        <v>170</v>
      </c>
      <c r="Y122">
        <v>0</v>
      </c>
      <c r="Z122">
        <v>0</v>
      </c>
      <c r="AA122">
        <v>143</v>
      </c>
      <c r="AB122">
        <v>696</v>
      </c>
      <c r="AC122">
        <v>0</v>
      </c>
      <c r="AD122">
        <v>0</v>
      </c>
      <c r="AE122">
        <v>0</v>
      </c>
      <c r="AF122">
        <v>0</v>
      </c>
      <c r="AG122">
        <v>0</v>
      </c>
      <c r="AH122">
        <v>56</v>
      </c>
      <c r="AI122">
        <v>386</v>
      </c>
      <c r="AK122">
        <v>7422</v>
      </c>
    </row>
    <row r="123" spans="2:37">
      <c r="B123">
        <v>660</v>
      </c>
      <c r="C123">
        <v>0</v>
      </c>
      <c r="D123">
        <v>0</v>
      </c>
      <c r="E123">
        <v>0</v>
      </c>
      <c r="F123">
        <v>0</v>
      </c>
      <c r="G123">
        <v>0</v>
      </c>
      <c r="H123">
        <v>0</v>
      </c>
      <c r="J123">
        <v>0</v>
      </c>
      <c r="K123">
        <v>0</v>
      </c>
      <c r="L123">
        <v>0</v>
      </c>
      <c r="M123">
        <v>0</v>
      </c>
      <c r="N123">
        <v>0</v>
      </c>
      <c r="O123">
        <v>0</v>
      </c>
      <c r="P123">
        <v>0</v>
      </c>
      <c r="Q123">
        <v>0</v>
      </c>
      <c r="R123">
        <v>0</v>
      </c>
      <c r="S123">
        <v>0</v>
      </c>
      <c r="U123">
        <v>0</v>
      </c>
      <c r="V123">
        <v>0</v>
      </c>
      <c r="W123">
        <v>0</v>
      </c>
      <c r="X123">
        <v>0</v>
      </c>
      <c r="Y123">
        <v>0</v>
      </c>
      <c r="Z123">
        <v>0</v>
      </c>
      <c r="AA123">
        <v>0</v>
      </c>
      <c r="AB123">
        <v>0</v>
      </c>
      <c r="AC123">
        <v>0</v>
      </c>
      <c r="AD123">
        <v>0</v>
      </c>
      <c r="AE123">
        <v>0</v>
      </c>
      <c r="AF123">
        <v>0</v>
      </c>
      <c r="AG123">
        <v>0</v>
      </c>
      <c r="AH123">
        <v>79</v>
      </c>
      <c r="AI123">
        <v>0</v>
      </c>
      <c r="AK123">
        <v>79</v>
      </c>
    </row>
    <row r="124" spans="2:37">
      <c r="B124">
        <v>680</v>
      </c>
      <c r="C124">
        <v>0</v>
      </c>
      <c r="D124">
        <v>0</v>
      </c>
      <c r="E124">
        <v>0</v>
      </c>
      <c r="F124">
        <v>0</v>
      </c>
      <c r="G124">
        <v>0</v>
      </c>
      <c r="H124">
        <v>0</v>
      </c>
      <c r="J124">
        <v>0</v>
      </c>
      <c r="K124">
        <v>0</v>
      </c>
      <c r="L124">
        <v>0</v>
      </c>
      <c r="M124">
        <v>0</v>
      </c>
      <c r="N124">
        <v>0</v>
      </c>
      <c r="O124">
        <v>0</v>
      </c>
      <c r="P124">
        <v>0</v>
      </c>
      <c r="Q124">
        <v>0</v>
      </c>
      <c r="R124">
        <v>0</v>
      </c>
      <c r="S124">
        <v>0</v>
      </c>
      <c r="U124">
        <v>0</v>
      </c>
      <c r="V124">
        <v>0</v>
      </c>
      <c r="W124">
        <v>0</v>
      </c>
      <c r="X124">
        <v>0</v>
      </c>
      <c r="Y124">
        <v>0</v>
      </c>
      <c r="Z124">
        <v>0</v>
      </c>
      <c r="AA124">
        <v>501</v>
      </c>
      <c r="AB124">
        <v>0</v>
      </c>
      <c r="AC124">
        <v>0</v>
      </c>
      <c r="AD124">
        <v>0</v>
      </c>
      <c r="AE124">
        <v>0</v>
      </c>
      <c r="AF124">
        <v>0</v>
      </c>
      <c r="AG124">
        <v>0</v>
      </c>
      <c r="AH124">
        <v>0</v>
      </c>
      <c r="AI124">
        <v>0</v>
      </c>
      <c r="AK124">
        <v>501</v>
      </c>
    </row>
    <row r="125" spans="2:37">
      <c r="B125">
        <v>700</v>
      </c>
      <c r="C125">
        <v>440</v>
      </c>
      <c r="D125">
        <v>763</v>
      </c>
      <c r="E125">
        <v>641</v>
      </c>
      <c r="F125">
        <v>1009</v>
      </c>
      <c r="G125">
        <v>2634</v>
      </c>
      <c r="H125">
        <v>1212</v>
      </c>
      <c r="J125">
        <v>9073</v>
      </c>
      <c r="K125">
        <v>2355</v>
      </c>
      <c r="L125">
        <v>2262</v>
      </c>
      <c r="M125">
        <v>11689</v>
      </c>
      <c r="N125">
        <v>2562</v>
      </c>
      <c r="O125">
        <v>10737</v>
      </c>
      <c r="P125">
        <v>4029</v>
      </c>
      <c r="Q125">
        <v>1825</v>
      </c>
      <c r="R125">
        <v>4090</v>
      </c>
      <c r="S125">
        <v>5708</v>
      </c>
      <c r="U125">
        <v>6129</v>
      </c>
      <c r="V125">
        <v>6477</v>
      </c>
      <c r="W125">
        <v>5494</v>
      </c>
      <c r="X125">
        <v>4592</v>
      </c>
      <c r="Y125">
        <v>6793</v>
      </c>
      <c r="Z125">
        <v>97</v>
      </c>
      <c r="AA125">
        <v>9434</v>
      </c>
      <c r="AB125">
        <v>6426</v>
      </c>
      <c r="AC125">
        <v>2602</v>
      </c>
      <c r="AD125">
        <v>4417</v>
      </c>
      <c r="AE125">
        <v>1856</v>
      </c>
      <c r="AF125">
        <v>2108</v>
      </c>
      <c r="AG125">
        <v>743</v>
      </c>
      <c r="AH125">
        <v>390</v>
      </c>
      <c r="AI125">
        <v>3434</v>
      </c>
      <c r="AK125">
        <v>122021</v>
      </c>
    </row>
    <row r="126" spans="2:37">
      <c r="B126">
        <v>730</v>
      </c>
      <c r="C126">
        <v>0</v>
      </c>
      <c r="D126">
        <v>0</v>
      </c>
      <c r="E126">
        <v>0</v>
      </c>
      <c r="F126">
        <v>305</v>
      </c>
      <c r="G126">
        <v>0</v>
      </c>
      <c r="H126">
        <v>0</v>
      </c>
      <c r="J126">
        <v>0</v>
      </c>
      <c r="K126">
        <v>0</v>
      </c>
      <c r="L126">
        <v>0</v>
      </c>
      <c r="M126">
        <v>0</v>
      </c>
      <c r="N126">
        <v>0</v>
      </c>
      <c r="O126">
        <v>0</v>
      </c>
      <c r="P126">
        <v>0</v>
      </c>
      <c r="Q126">
        <v>0</v>
      </c>
      <c r="R126">
        <v>0</v>
      </c>
      <c r="S126">
        <v>0</v>
      </c>
      <c r="U126">
        <v>0</v>
      </c>
      <c r="V126">
        <v>0</v>
      </c>
      <c r="W126">
        <v>0</v>
      </c>
      <c r="X126">
        <v>0</v>
      </c>
      <c r="Y126">
        <v>0</v>
      </c>
      <c r="Z126">
        <v>0</v>
      </c>
      <c r="AA126">
        <v>0</v>
      </c>
      <c r="AB126">
        <v>0</v>
      </c>
      <c r="AC126">
        <v>0</v>
      </c>
      <c r="AD126">
        <v>0</v>
      </c>
      <c r="AE126">
        <v>0</v>
      </c>
      <c r="AF126">
        <v>0</v>
      </c>
      <c r="AG126">
        <v>0</v>
      </c>
      <c r="AH126">
        <v>0</v>
      </c>
      <c r="AI126">
        <v>0</v>
      </c>
      <c r="AK126">
        <v>305</v>
      </c>
    </row>
    <row r="127" spans="2:37">
      <c r="B127">
        <v>750</v>
      </c>
      <c r="C127">
        <v>0</v>
      </c>
      <c r="D127">
        <v>0</v>
      </c>
      <c r="E127">
        <v>292</v>
      </c>
      <c r="F127">
        <v>111</v>
      </c>
      <c r="G127">
        <v>425</v>
      </c>
      <c r="H127">
        <v>0</v>
      </c>
      <c r="J127">
        <v>1155</v>
      </c>
      <c r="K127">
        <v>1613</v>
      </c>
      <c r="L127">
        <v>572</v>
      </c>
      <c r="M127">
        <v>668</v>
      </c>
      <c r="N127">
        <v>411</v>
      </c>
      <c r="O127">
        <v>890</v>
      </c>
      <c r="P127">
        <v>579</v>
      </c>
      <c r="Q127">
        <v>331</v>
      </c>
      <c r="R127">
        <v>0</v>
      </c>
      <c r="S127">
        <v>1065</v>
      </c>
      <c r="U127">
        <v>958</v>
      </c>
      <c r="V127">
        <v>0</v>
      </c>
      <c r="W127">
        <v>0</v>
      </c>
      <c r="X127">
        <v>110</v>
      </c>
      <c r="Y127">
        <v>138</v>
      </c>
      <c r="Z127">
        <v>0</v>
      </c>
      <c r="AA127">
        <v>697</v>
      </c>
      <c r="AB127">
        <v>707</v>
      </c>
      <c r="AC127">
        <v>1108</v>
      </c>
      <c r="AD127">
        <v>158</v>
      </c>
      <c r="AE127">
        <v>0</v>
      </c>
      <c r="AF127">
        <v>0</v>
      </c>
      <c r="AG127">
        <v>146</v>
      </c>
      <c r="AH127">
        <v>202</v>
      </c>
      <c r="AI127">
        <v>0</v>
      </c>
      <c r="AK127">
        <v>12336</v>
      </c>
    </row>
    <row r="128" spans="2:37">
      <c r="B128">
        <v>760</v>
      </c>
      <c r="C128">
        <v>0</v>
      </c>
      <c r="D128">
        <v>0</v>
      </c>
      <c r="E128">
        <v>284</v>
      </c>
      <c r="F128">
        <v>112</v>
      </c>
      <c r="G128">
        <v>0</v>
      </c>
      <c r="H128">
        <v>0</v>
      </c>
      <c r="J128">
        <v>0</v>
      </c>
      <c r="K128">
        <v>0</v>
      </c>
      <c r="L128">
        <v>0</v>
      </c>
      <c r="M128">
        <v>0</v>
      </c>
      <c r="N128">
        <v>0</v>
      </c>
      <c r="O128">
        <v>0</v>
      </c>
      <c r="P128">
        <v>0</v>
      </c>
      <c r="Q128">
        <v>0</v>
      </c>
      <c r="R128">
        <v>0</v>
      </c>
      <c r="S128">
        <v>0</v>
      </c>
      <c r="U128">
        <v>0</v>
      </c>
      <c r="V128">
        <v>0</v>
      </c>
      <c r="W128">
        <v>0</v>
      </c>
      <c r="X128">
        <v>0</v>
      </c>
      <c r="Y128">
        <v>0</v>
      </c>
      <c r="Z128">
        <v>0</v>
      </c>
      <c r="AA128">
        <v>0</v>
      </c>
      <c r="AB128">
        <v>0</v>
      </c>
      <c r="AC128">
        <v>0</v>
      </c>
      <c r="AD128">
        <v>0</v>
      </c>
      <c r="AE128">
        <v>0</v>
      </c>
      <c r="AF128">
        <v>0</v>
      </c>
      <c r="AG128">
        <v>0</v>
      </c>
      <c r="AH128">
        <v>0</v>
      </c>
      <c r="AI128">
        <v>0</v>
      </c>
      <c r="AK128">
        <v>396</v>
      </c>
    </row>
    <row r="129" spans="2:37">
      <c r="B129">
        <v>780</v>
      </c>
      <c r="C129">
        <v>0</v>
      </c>
      <c r="D129">
        <v>0</v>
      </c>
      <c r="E129">
        <v>0</v>
      </c>
      <c r="F129">
        <v>112</v>
      </c>
      <c r="G129">
        <v>0</v>
      </c>
      <c r="H129">
        <v>0</v>
      </c>
      <c r="J129">
        <v>0</v>
      </c>
      <c r="K129">
        <v>0</v>
      </c>
      <c r="L129">
        <v>0</v>
      </c>
      <c r="M129">
        <v>0</v>
      </c>
      <c r="N129">
        <v>0</v>
      </c>
      <c r="O129">
        <v>0</v>
      </c>
      <c r="P129">
        <v>0</v>
      </c>
      <c r="Q129">
        <v>0</v>
      </c>
      <c r="R129">
        <v>0</v>
      </c>
      <c r="S129">
        <v>0</v>
      </c>
      <c r="U129">
        <v>0</v>
      </c>
      <c r="V129">
        <v>0</v>
      </c>
      <c r="W129">
        <v>0</v>
      </c>
      <c r="X129">
        <v>0</v>
      </c>
      <c r="Y129">
        <v>0</v>
      </c>
      <c r="Z129">
        <v>0</v>
      </c>
      <c r="AA129">
        <v>0</v>
      </c>
      <c r="AB129">
        <v>0</v>
      </c>
      <c r="AC129">
        <v>0</v>
      </c>
      <c r="AD129">
        <v>0</v>
      </c>
      <c r="AE129">
        <v>0</v>
      </c>
      <c r="AF129">
        <v>0</v>
      </c>
      <c r="AG129">
        <v>0</v>
      </c>
      <c r="AH129">
        <v>0</v>
      </c>
      <c r="AI129">
        <v>0</v>
      </c>
      <c r="AK129">
        <v>112</v>
      </c>
    </row>
    <row r="130" spans="2:37">
      <c r="B130">
        <v>800</v>
      </c>
      <c r="C130">
        <v>141</v>
      </c>
      <c r="D130">
        <v>307</v>
      </c>
      <c r="E130">
        <v>1084</v>
      </c>
      <c r="F130">
        <v>1050</v>
      </c>
      <c r="G130">
        <v>1798</v>
      </c>
      <c r="H130">
        <v>406</v>
      </c>
      <c r="J130">
        <v>3034</v>
      </c>
      <c r="K130">
        <v>2216</v>
      </c>
      <c r="L130">
        <v>884</v>
      </c>
      <c r="M130">
        <v>2707</v>
      </c>
      <c r="N130">
        <v>1048</v>
      </c>
      <c r="O130">
        <v>3210</v>
      </c>
      <c r="P130">
        <v>3191</v>
      </c>
      <c r="Q130">
        <v>1068</v>
      </c>
      <c r="R130">
        <v>1248</v>
      </c>
      <c r="S130">
        <v>567</v>
      </c>
      <c r="U130">
        <v>4490</v>
      </c>
      <c r="V130">
        <v>888</v>
      </c>
      <c r="W130">
        <v>1583</v>
      </c>
      <c r="X130">
        <v>2294</v>
      </c>
      <c r="Y130">
        <v>926</v>
      </c>
      <c r="Z130">
        <v>0</v>
      </c>
      <c r="AA130">
        <v>7914</v>
      </c>
      <c r="AB130">
        <v>3747</v>
      </c>
      <c r="AC130">
        <v>3320</v>
      </c>
      <c r="AD130">
        <v>1666</v>
      </c>
      <c r="AE130">
        <v>1255</v>
      </c>
      <c r="AF130">
        <v>2209</v>
      </c>
      <c r="AG130">
        <v>149</v>
      </c>
      <c r="AH130">
        <v>496</v>
      </c>
      <c r="AI130">
        <v>4056</v>
      </c>
      <c r="AK130">
        <v>58952</v>
      </c>
    </row>
    <row r="131" spans="2:37">
      <c r="B131">
        <v>840</v>
      </c>
      <c r="C131">
        <v>0</v>
      </c>
      <c r="D131">
        <v>0</v>
      </c>
      <c r="E131">
        <v>0</v>
      </c>
      <c r="F131">
        <v>0</v>
      </c>
      <c r="G131">
        <v>0</v>
      </c>
      <c r="H131">
        <v>0</v>
      </c>
      <c r="J131">
        <v>0</v>
      </c>
      <c r="K131">
        <v>0</v>
      </c>
      <c r="L131">
        <v>0</v>
      </c>
      <c r="M131">
        <v>373</v>
      </c>
      <c r="N131">
        <v>0</v>
      </c>
      <c r="O131">
        <v>698</v>
      </c>
      <c r="P131">
        <v>0</v>
      </c>
      <c r="Q131">
        <v>0</v>
      </c>
      <c r="R131">
        <v>0</v>
      </c>
      <c r="S131">
        <v>0</v>
      </c>
      <c r="U131">
        <v>0</v>
      </c>
      <c r="V131">
        <v>0</v>
      </c>
      <c r="W131">
        <v>0</v>
      </c>
      <c r="X131">
        <v>0</v>
      </c>
      <c r="Y131">
        <v>0</v>
      </c>
      <c r="Z131">
        <v>0</v>
      </c>
      <c r="AA131">
        <v>319</v>
      </c>
      <c r="AB131">
        <v>273</v>
      </c>
      <c r="AC131">
        <v>0</v>
      </c>
      <c r="AD131">
        <v>0</v>
      </c>
      <c r="AE131">
        <v>0</v>
      </c>
      <c r="AF131">
        <v>0</v>
      </c>
      <c r="AG131">
        <v>0</v>
      </c>
      <c r="AH131">
        <v>0</v>
      </c>
      <c r="AI131">
        <v>0</v>
      </c>
      <c r="AK131">
        <v>1663</v>
      </c>
    </row>
    <row r="132" spans="2:37">
      <c r="B132">
        <v>850</v>
      </c>
      <c r="C132">
        <v>0</v>
      </c>
      <c r="D132">
        <v>0</v>
      </c>
      <c r="E132">
        <v>324</v>
      </c>
      <c r="F132">
        <v>111</v>
      </c>
      <c r="G132">
        <v>0</v>
      </c>
      <c r="H132">
        <v>0</v>
      </c>
      <c r="J132">
        <v>922</v>
      </c>
      <c r="K132">
        <v>0</v>
      </c>
      <c r="L132">
        <v>140</v>
      </c>
      <c r="M132">
        <v>0</v>
      </c>
      <c r="N132">
        <v>0</v>
      </c>
      <c r="O132">
        <v>952</v>
      </c>
      <c r="P132">
        <v>0</v>
      </c>
      <c r="Q132">
        <v>441</v>
      </c>
      <c r="R132">
        <v>0</v>
      </c>
      <c r="S132">
        <v>0</v>
      </c>
      <c r="U132">
        <v>0</v>
      </c>
      <c r="V132">
        <v>302</v>
      </c>
      <c r="W132">
        <v>0</v>
      </c>
      <c r="X132">
        <v>0</v>
      </c>
      <c r="Y132">
        <v>0</v>
      </c>
      <c r="Z132">
        <v>0</v>
      </c>
      <c r="AA132">
        <v>0</v>
      </c>
      <c r="AB132">
        <v>0</v>
      </c>
      <c r="AC132">
        <v>0</v>
      </c>
      <c r="AD132">
        <v>0</v>
      </c>
      <c r="AE132">
        <v>0</v>
      </c>
      <c r="AF132">
        <v>0</v>
      </c>
      <c r="AG132">
        <v>0</v>
      </c>
      <c r="AH132">
        <v>83</v>
      </c>
      <c r="AI132">
        <v>0</v>
      </c>
      <c r="AK132">
        <v>3275</v>
      </c>
    </row>
    <row r="133" spans="2:37">
      <c r="B133">
        <v>860</v>
      </c>
      <c r="C133">
        <v>0</v>
      </c>
      <c r="D133">
        <v>0</v>
      </c>
      <c r="E133">
        <v>0</v>
      </c>
      <c r="F133">
        <v>0</v>
      </c>
      <c r="G133">
        <v>0</v>
      </c>
      <c r="H133">
        <v>0</v>
      </c>
      <c r="J133">
        <v>0</v>
      </c>
      <c r="K133">
        <v>0</v>
      </c>
      <c r="L133">
        <v>0</v>
      </c>
      <c r="M133">
        <v>0</v>
      </c>
      <c r="N133">
        <v>0</v>
      </c>
      <c r="O133">
        <v>0</v>
      </c>
      <c r="P133">
        <v>0</v>
      </c>
      <c r="Q133">
        <v>0</v>
      </c>
      <c r="R133">
        <v>261</v>
      </c>
      <c r="S133">
        <v>0</v>
      </c>
      <c r="U133">
        <v>0</v>
      </c>
      <c r="V133">
        <v>0</v>
      </c>
      <c r="W133">
        <v>0</v>
      </c>
      <c r="X133">
        <v>0</v>
      </c>
      <c r="Y133">
        <v>0</v>
      </c>
      <c r="Z133">
        <v>0</v>
      </c>
      <c r="AA133">
        <v>0</v>
      </c>
      <c r="AB133">
        <v>0</v>
      </c>
      <c r="AC133">
        <v>0</v>
      </c>
      <c r="AD133">
        <v>0</v>
      </c>
      <c r="AE133">
        <v>0</v>
      </c>
      <c r="AF133">
        <v>0</v>
      </c>
      <c r="AG133">
        <v>0</v>
      </c>
      <c r="AH133">
        <v>0</v>
      </c>
      <c r="AI133">
        <v>0</v>
      </c>
      <c r="AK133">
        <v>261</v>
      </c>
    </row>
    <row r="134" spans="2:37">
      <c r="B134">
        <v>870</v>
      </c>
      <c r="C134">
        <v>0</v>
      </c>
      <c r="D134">
        <v>0</v>
      </c>
      <c r="E134">
        <v>0</v>
      </c>
      <c r="F134">
        <v>0</v>
      </c>
      <c r="G134">
        <v>0</v>
      </c>
      <c r="H134">
        <v>0</v>
      </c>
      <c r="J134">
        <v>0</v>
      </c>
      <c r="K134">
        <v>0</v>
      </c>
      <c r="L134">
        <v>0</v>
      </c>
      <c r="M134">
        <v>0</v>
      </c>
      <c r="N134">
        <v>0</v>
      </c>
      <c r="O134">
        <v>0</v>
      </c>
      <c r="P134">
        <v>0</v>
      </c>
      <c r="Q134">
        <v>0</v>
      </c>
      <c r="R134">
        <v>0</v>
      </c>
      <c r="S134">
        <v>0</v>
      </c>
      <c r="U134">
        <v>0</v>
      </c>
      <c r="V134">
        <v>0</v>
      </c>
      <c r="W134">
        <v>0</v>
      </c>
      <c r="X134">
        <v>0</v>
      </c>
      <c r="Y134">
        <v>0</v>
      </c>
      <c r="Z134">
        <v>0</v>
      </c>
      <c r="AA134">
        <v>0</v>
      </c>
      <c r="AB134">
        <v>0</v>
      </c>
      <c r="AC134">
        <v>0</v>
      </c>
      <c r="AD134">
        <v>0</v>
      </c>
      <c r="AE134">
        <v>0</v>
      </c>
      <c r="AF134">
        <v>0</v>
      </c>
      <c r="AG134">
        <v>0</v>
      </c>
      <c r="AH134">
        <v>0</v>
      </c>
      <c r="AI134">
        <v>542</v>
      </c>
      <c r="AK134">
        <v>542</v>
      </c>
    </row>
    <row r="135" spans="2:37">
      <c r="B135">
        <v>900</v>
      </c>
      <c r="C135">
        <v>0</v>
      </c>
      <c r="D135">
        <v>0</v>
      </c>
      <c r="E135">
        <v>352</v>
      </c>
      <c r="F135">
        <v>299</v>
      </c>
      <c r="G135">
        <v>882</v>
      </c>
      <c r="H135">
        <v>0</v>
      </c>
      <c r="J135">
        <v>0</v>
      </c>
      <c r="K135">
        <v>908</v>
      </c>
      <c r="L135">
        <v>778</v>
      </c>
      <c r="M135">
        <v>363</v>
      </c>
      <c r="N135">
        <v>358</v>
      </c>
      <c r="O135">
        <v>1407</v>
      </c>
      <c r="P135">
        <v>0</v>
      </c>
      <c r="Q135">
        <v>196</v>
      </c>
      <c r="R135">
        <v>305</v>
      </c>
      <c r="S135">
        <v>0</v>
      </c>
      <c r="U135">
        <v>0</v>
      </c>
      <c r="V135">
        <v>0</v>
      </c>
      <c r="W135">
        <v>0</v>
      </c>
      <c r="X135">
        <v>0</v>
      </c>
      <c r="Y135">
        <v>134</v>
      </c>
      <c r="Z135">
        <v>0</v>
      </c>
      <c r="AA135">
        <v>1111</v>
      </c>
      <c r="AB135">
        <v>760</v>
      </c>
      <c r="AC135">
        <v>392</v>
      </c>
      <c r="AD135">
        <v>158</v>
      </c>
      <c r="AE135">
        <v>0</v>
      </c>
      <c r="AF135">
        <v>0</v>
      </c>
      <c r="AG135">
        <v>0</v>
      </c>
      <c r="AH135">
        <v>38</v>
      </c>
      <c r="AI135">
        <v>647</v>
      </c>
      <c r="AK135">
        <v>9088</v>
      </c>
    </row>
    <row r="136" spans="2:37">
      <c r="B136">
        <v>950</v>
      </c>
      <c r="C136">
        <v>0</v>
      </c>
      <c r="D136">
        <v>0</v>
      </c>
      <c r="E136">
        <v>121</v>
      </c>
      <c r="F136">
        <v>0</v>
      </c>
      <c r="G136">
        <v>0</v>
      </c>
      <c r="H136">
        <v>0</v>
      </c>
      <c r="J136">
        <v>0</v>
      </c>
      <c r="K136">
        <v>0</v>
      </c>
      <c r="L136">
        <v>0</v>
      </c>
      <c r="M136">
        <v>0</v>
      </c>
      <c r="N136">
        <v>0</v>
      </c>
      <c r="O136">
        <v>0</v>
      </c>
      <c r="P136">
        <v>0</v>
      </c>
      <c r="Q136">
        <v>0</v>
      </c>
      <c r="R136">
        <v>0</v>
      </c>
      <c r="S136">
        <v>0</v>
      </c>
      <c r="U136">
        <v>0</v>
      </c>
      <c r="V136">
        <v>0</v>
      </c>
      <c r="W136">
        <v>0</v>
      </c>
      <c r="X136">
        <v>0</v>
      </c>
      <c r="Y136">
        <v>0</v>
      </c>
      <c r="Z136">
        <v>0</v>
      </c>
      <c r="AA136">
        <v>259</v>
      </c>
      <c r="AB136">
        <v>0</v>
      </c>
      <c r="AC136">
        <v>0</v>
      </c>
      <c r="AD136">
        <v>0</v>
      </c>
      <c r="AE136">
        <v>0</v>
      </c>
      <c r="AF136">
        <v>0</v>
      </c>
      <c r="AG136">
        <v>0</v>
      </c>
      <c r="AH136">
        <v>61</v>
      </c>
      <c r="AI136">
        <v>0</v>
      </c>
      <c r="AK136">
        <v>441</v>
      </c>
    </row>
    <row r="137" spans="2:37">
      <c r="B137">
        <v>980</v>
      </c>
      <c r="C137">
        <v>0</v>
      </c>
      <c r="D137">
        <v>0</v>
      </c>
      <c r="E137">
        <v>0</v>
      </c>
      <c r="F137">
        <v>0</v>
      </c>
      <c r="G137">
        <v>0</v>
      </c>
      <c r="H137">
        <v>0</v>
      </c>
      <c r="J137">
        <v>0</v>
      </c>
      <c r="K137">
        <v>0</v>
      </c>
      <c r="L137">
        <v>0</v>
      </c>
      <c r="M137">
        <v>0</v>
      </c>
      <c r="N137">
        <v>0</v>
      </c>
      <c r="O137">
        <v>148</v>
      </c>
      <c r="P137">
        <v>0</v>
      </c>
      <c r="Q137">
        <v>0</v>
      </c>
      <c r="R137">
        <v>0</v>
      </c>
      <c r="S137">
        <v>0</v>
      </c>
      <c r="U137">
        <v>0</v>
      </c>
      <c r="V137">
        <v>0</v>
      </c>
      <c r="W137">
        <v>0</v>
      </c>
      <c r="X137">
        <v>0</v>
      </c>
      <c r="Y137">
        <v>0</v>
      </c>
      <c r="Z137">
        <v>0</v>
      </c>
      <c r="AA137">
        <v>0</v>
      </c>
      <c r="AB137">
        <v>0</v>
      </c>
      <c r="AC137">
        <v>0</v>
      </c>
      <c r="AD137">
        <v>0</v>
      </c>
      <c r="AE137">
        <v>0</v>
      </c>
      <c r="AF137">
        <v>0</v>
      </c>
      <c r="AG137">
        <v>0</v>
      </c>
      <c r="AH137">
        <v>0</v>
      </c>
      <c r="AI137">
        <v>0</v>
      </c>
      <c r="AK137">
        <v>148</v>
      </c>
    </row>
    <row r="138" spans="2:37">
      <c r="B138">
        <v>1000</v>
      </c>
      <c r="C138">
        <v>59</v>
      </c>
      <c r="D138">
        <v>980</v>
      </c>
      <c r="E138">
        <v>4016</v>
      </c>
      <c r="F138">
        <v>2434</v>
      </c>
      <c r="G138">
        <v>3555</v>
      </c>
      <c r="H138">
        <v>996</v>
      </c>
      <c r="J138">
        <v>12524</v>
      </c>
      <c r="K138">
        <v>6903</v>
      </c>
      <c r="L138">
        <v>4596</v>
      </c>
      <c r="M138">
        <v>9845</v>
      </c>
      <c r="N138">
        <v>7485</v>
      </c>
      <c r="O138">
        <v>12960</v>
      </c>
      <c r="P138">
        <v>2939</v>
      </c>
      <c r="Q138">
        <v>14440</v>
      </c>
      <c r="R138">
        <v>10447</v>
      </c>
      <c r="S138">
        <v>1938</v>
      </c>
      <c r="U138">
        <v>3213</v>
      </c>
      <c r="V138">
        <v>2499</v>
      </c>
      <c r="W138">
        <v>8470</v>
      </c>
      <c r="X138">
        <v>9961</v>
      </c>
      <c r="Y138">
        <v>6590</v>
      </c>
      <c r="Z138">
        <v>547</v>
      </c>
      <c r="AA138">
        <v>10003</v>
      </c>
      <c r="AB138">
        <v>11247</v>
      </c>
      <c r="AC138">
        <v>8342</v>
      </c>
      <c r="AD138">
        <v>2301</v>
      </c>
      <c r="AE138">
        <v>1199</v>
      </c>
      <c r="AF138">
        <v>6362</v>
      </c>
      <c r="AG138">
        <v>784</v>
      </c>
      <c r="AH138">
        <v>1084</v>
      </c>
      <c r="AI138">
        <v>2369</v>
      </c>
      <c r="AK138">
        <v>171088</v>
      </c>
    </row>
    <row r="139" spans="2:37">
      <c r="B139">
        <v>1050</v>
      </c>
      <c r="C139">
        <v>0</v>
      </c>
      <c r="D139">
        <v>0</v>
      </c>
      <c r="E139">
        <v>0</v>
      </c>
      <c r="F139">
        <v>0</v>
      </c>
      <c r="G139">
        <v>0</v>
      </c>
      <c r="H139">
        <v>460</v>
      </c>
      <c r="J139">
        <v>254</v>
      </c>
      <c r="K139">
        <v>0</v>
      </c>
      <c r="L139">
        <v>0</v>
      </c>
      <c r="M139">
        <v>254</v>
      </c>
      <c r="N139">
        <v>0</v>
      </c>
      <c r="O139">
        <v>1180</v>
      </c>
      <c r="P139">
        <v>0</v>
      </c>
      <c r="Q139">
        <v>0</v>
      </c>
      <c r="R139">
        <v>0</v>
      </c>
      <c r="S139">
        <v>425</v>
      </c>
      <c r="U139">
        <v>0</v>
      </c>
      <c r="V139">
        <v>0</v>
      </c>
      <c r="W139">
        <v>496</v>
      </c>
      <c r="X139">
        <v>178</v>
      </c>
      <c r="Y139">
        <v>0</v>
      </c>
      <c r="Z139">
        <v>0</v>
      </c>
      <c r="AA139">
        <v>0</v>
      </c>
      <c r="AB139">
        <v>571</v>
      </c>
      <c r="AC139">
        <v>0</v>
      </c>
      <c r="AD139">
        <v>0</v>
      </c>
      <c r="AE139">
        <v>0</v>
      </c>
      <c r="AF139">
        <v>0</v>
      </c>
      <c r="AG139">
        <v>0</v>
      </c>
      <c r="AH139">
        <v>79</v>
      </c>
      <c r="AI139">
        <v>0</v>
      </c>
      <c r="AK139">
        <v>3897</v>
      </c>
    </row>
    <row r="140" spans="2:37">
      <c r="B140">
        <v>1100</v>
      </c>
      <c r="C140">
        <v>0</v>
      </c>
      <c r="D140">
        <v>0</v>
      </c>
      <c r="E140">
        <v>0</v>
      </c>
      <c r="F140">
        <v>104</v>
      </c>
      <c r="G140">
        <v>0</v>
      </c>
      <c r="H140">
        <v>0</v>
      </c>
      <c r="J140">
        <v>0</v>
      </c>
      <c r="K140">
        <v>0</v>
      </c>
      <c r="L140">
        <v>0</v>
      </c>
      <c r="M140">
        <v>0</v>
      </c>
      <c r="N140">
        <v>0</v>
      </c>
      <c r="O140">
        <v>0</v>
      </c>
      <c r="P140">
        <v>0</v>
      </c>
      <c r="Q140">
        <v>0</v>
      </c>
      <c r="R140">
        <v>0</v>
      </c>
      <c r="S140">
        <v>0</v>
      </c>
      <c r="U140">
        <v>0</v>
      </c>
      <c r="V140">
        <v>0</v>
      </c>
      <c r="W140">
        <v>434</v>
      </c>
      <c r="X140">
        <v>0</v>
      </c>
      <c r="Y140">
        <v>0</v>
      </c>
      <c r="Z140">
        <v>0</v>
      </c>
      <c r="AA140">
        <v>0</v>
      </c>
      <c r="AB140">
        <v>0</v>
      </c>
      <c r="AC140">
        <v>0</v>
      </c>
      <c r="AD140">
        <v>0</v>
      </c>
      <c r="AE140">
        <v>0</v>
      </c>
      <c r="AF140">
        <v>0</v>
      </c>
      <c r="AG140">
        <v>0</v>
      </c>
      <c r="AH140">
        <v>0</v>
      </c>
      <c r="AI140">
        <v>0</v>
      </c>
      <c r="AK140">
        <v>538</v>
      </c>
    </row>
    <row r="141" spans="2:37">
      <c r="B141">
        <v>1120</v>
      </c>
      <c r="C141">
        <v>0</v>
      </c>
      <c r="D141">
        <v>0</v>
      </c>
      <c r="E141">
        <v>0</v>
      </c>
      <c r="F141">
        <v>0</v>
      </c>
      <c r="G141">
        <v>0</v>
      </c>
      <c r="H141">
        <v>0</v>
      </c>
      <c r="J141">
        <v>0</v>
      </c>
      <c r="K141">
        <v>0</v>
      </c>
      <c r="L141">
        <v>132</v>
      </c>
      <c r="M141">
        <v>0</v>
      </c>
      <c r="N141">
        <v>0</v>
      </c>
      <c r="O141">
        <v>0</v>
      </c>
      <c r="P141">
        <v>0</v>
      </c>
      <c r="Q141">
        <v>0</v>
      </c>
      <c r="R141">
        <v>0</v>
      </c>
      <c r="S141">
        <v>0</v>
      </c>
      <c r="U141">
        <v>0</v>
      </c>
      <c r="V141">
        <v>0</v>
      </c>
      <c r="W141">
        <v>0</v>
      </c>
      <c r="X141">
        <v>0</v>
      </c>
      <c r="Y141">
        <v>0</v>
      </c>
      <c r="Z141">
        <v>0</v>
      </c>
      <c r="AA141">
        <v>0</v>
      </c>
      <c r="AB141">
        <v>0</v>
      </c>
      <c r="AC141">
        <v>0</v>
      </c>
      <c r="AD141">
        <v>0</v>
      </c>
      <c r="AE141">
        <v>0</v>
      </c>
      <c r="AF141">
        <v>0</v>
      </c>
      <c r="AG141">
        <v>0</v>
      </c>
      <c r="AH141">
        <v>72</v>
      </c>
      <c r="AI141">
        <v>0</v>
      </c>
      <c r="AK141">
        <v>204</v>
      </c>
    </row>
    <row r="142" spans="2:37">
      <c r="B142">
        <v>1190</v>
      </c>
      <c r="C142">
        <v>0</v>
      </c>
      <c r="D142">
        <v>0</v>
      </c>
      <c r="E142">
        <v>0</v>
      </c>
      <c r="F142">
        <v>63</v>
      </c>
      <c r="G142">
        <v>0</v>
      </c>
      <c r="H142">
        <v>0</v>
      </c>
      <c r="J142">
        <v>0</v>
      </c>
      <c r="K142">
        <v>0</v>
      </c>
      <c r="L142">
        <v>0</v>
      </c>
      <c r="M142">
        <v>0</v>
      </c>
      <c r="N142">
        <v>0</v>
      </c>
      <c r="O142">
        <v>0</v>
      </c>
      <c r="P142">
        <v>0</v>
      </c>
      <c r="Q142">
        <v>0</v>
      </c>
      <c r="R142">
        <v>0</v>
      </c>
      <c r="S142">
        <v>0</v>
      </c>
      <c r="U142">
        <v>0</v>
      </c>
      <c r="V142">
        <v>0</v>
      </c>
      <c r="W142">
        <v>0</v>
      </c>
      <c r="X142">
        <v>0</v>
      </c>
      <c r="Y142">
        <v>0</v>
      </c>
      <c r="Z142">
        <v>0</v>
      </c>
      <c r="AA142">
        <v>0</v>
      </c>
      <c r="AB142">
        <v>0</v>
      </c>
      <c r="AC142">
        <v>0</v>
      </c>
      <c r="AD142">
        <v>0</v>
      </c>
      <c r="AE142">
        <v>0</v>
      </c>
      <c r="AF142">
        <v>0</v>
      </c>
      <c r="AG142">
        <v>0</v>
      </c>
      <c r="AH142">
        <v>0</v>
      </c>
      <c r="AI142">
        <v>0</v>
      </c>
      <c r="AK142">
        <v>63</v>
      </c>
    </row>
    <row r="143" spans="2:37">
      <c r="B143">
        <v>1200</v>
      </c>
      <c r="C143">
        <v>141</v>
      </c>
      <c r="D143">
        <v>0</v>
      </c>
      <c r="E143">
        <v>231</v>
      </c>
      <c r="F143">
        <v>83</v>
      </c>
      <c r="G143">
        <v>0</v>
      </c>
      <c r="H143">
        <v>0</v>
      </c>
      <c r="J143">
        <v>1104</v>
      </c>
      <c r="K143">
        <v>171</v>
      </c>
      <c r="L143">
        <v>559</v>
      </c>
      <c r="M143">
        <v>348</v>
      </c>
      <c r="N143">
        <v>618</v>
      </c>
      <c r="O143">
        <v>595</v>
      </c>
      <c r="P143">
        <v>288</v>
      </c>
      <c r="Q143">
        <v>504</v>
      </c>
      <c r="R143">
        <v>564</v>
      </c>
      <c r="S143">
        <v>0</v>
      </c>
      <c r="U143">
        <v>0</v>
      </c>
      <c r="V143">
        <v>501</v>
      </c>
      <c r="W143">
        <v>0</v>
      </c>
      <c r="X143">
        <v>178</v>
      </c>
      <c r="Y143">
        <v>0</v>
      </c>
      <c r="Z143">
        <v>0</v>
      </c>
      <c r="AA143">
        <v>616</v>
      </c>
      <c r="AB143">
        <v>1139</v>
      </c>
      <c r="AC143">
        <v>1071</v>
      </c>
      <c r="AD143">
        <v>790</v>
      </c>
      <c r="AE143">
        <v>0</v>
      </c>
      <c r="AF143">
        <v>160</v>
      </c>
      <c r="AG143">
        <v>0</v>
      </c>
      <c r="AH143">
        <v>63</v>
      </c>
      <c r="AI143">
        <v>508</v>
      </c>
      <c r="AK143">
        <v>10232</v>
      </c>
    </row>
    <row r="144" spans="2:37">
      <c r="B144">
        <v>1250</v>
      </c>
      <c r="C144">
        <v>0</v>
      </c>
      <c r="D144">
        <v>0</v>
      </c>
      <c r="E144">
        <v>113</v>
      </c>
      <c r="F144">
        <v>0</v>
      </c>
      <c r="G144">
        <v>0</v>
      </c>
      <c r="H144">
        <v>0</v>
      </c>
      <c r="J144">
        <v>0</v>
      </c>
      <c r="K144">
        <v>0</v>
      </c>
      <c r="L144">
        <v>0</v>
      </c>
      <c r="M144">
        <v>0</v>
      </c>
      <c r="N144">
        <v>0</v>
      </c>
      <c r="O144">
        <v>0</v>
      </c>
      <c r="P144">
        <v>0</v>
      </c>
      <c r="Q144">
        <v>433</v>
      </c>
      <c r="R144">
        <v>0</v>
      </c>
      <c r="S144">
        <v>0</v>
      </c>
      <c r="U144">
        <v>0</v>
      </c>
      <c r="V144">
        <v>0</v>
      </c>
      <c r="W144">
        <v>0</v>
      </c>
      <c r="X144">
        <v>137</v>
      </c>
      <c r="Y144">
        <v>0</v>
      </c>
      <c r="Z144">
        <v>0</v>
      </c>
      <c r="AA144">
        <v>0</v>
      </c>
      <c r="AB144">
        <v>0</v>
      </c>
      <c r="AC144">
        <v>0</v>
      </c>
      <c r="AD144">
        <v>0</v>
      </c>
      <c r="AE144">
        <v>0</v>
      </c>
      <c r="AF144">
        <v>0</v>
      </c>
      <c r="AG144">
        <v>0</v>
      </c>
      <c r="AH144">
        <v>0</v>
      </c>
      <c r="AI144">
        <v>0</v>
      </c>
      <c r="AK144">
        <v>683</v>
      </c>
    </row>
    <row r="145" spans="2:37">
      <c r="B145">
        <v>1260</v>
      </c>
      <c r="C145">
        <v>0</v>
      </c>
      <c r="D145">
        <v>0</v>
      </c>
      <c r="E145">
        <v>0</v>
      </c>
      <c r="F145">
        <v>0</v>
      </c>
      <c r="G145">
        <v>0</v>
      </c>
      <c r="H145">
        <v>0</v>
      </c>
      <c r="J145">
        <v>0</v>
      </c>
      <c r="K145">
        <v>0</v>
      </c>
      <c r="L145">
        <v>0</v>
      </c>
      <c r="M145">
        <v>0</v>
      </c>
      <c r="N145">
        <v>0</v>
      </c>
      <c r="O145">
        <v>561</v>
      </c>
      <c r="P145">
        <v>0</v>
      </c>
      <c r="Q145">
        <v>0</v>
      </c>
      <c r="R145">
        <v>0</v>
      </c>
      <c r="S145">
        <v>0</v>
      </c>
      <c r="U145">
        <v>0</v>
      </c>
      <c r="V145">
        <v>0</v>
      </c>
      <c r="W145">
        <v>0</v>
      </c>
      <c r="X145">
        <v>0</v>
      </c>
      <c r="Y145">
        <v>0</v>
      </c>
      <c r="Z145">
        <v>0</v>
      </c>
      <c r="AA145">
        <v>0</v>
      </c>
      <c r="AB145">
        <v>0</v>
      </c>
      <c r="AC145">
        <v>0</v>
      </c>
      <c r="AD145">
        <v>0</v>
      </c>
      <c r="AE145">
        <v>0</v>
      </c>
      <c r="AF145">
        <v>0</v>
      </c>
      <c r="AG145">
        <v>0</v>
      </c>
      <c r="AH145">
        <v>0</v>
      </c>
      <c r="AI145">
        <v>0</v>
      </c>
      <c r="AK145">
        <v>561</v>
      </c>
    </row>
    <row r="146" spans="2:37">
      <c r="B146">
        <v>1280</v>
      </c>
      <c r="C146">
        <v>0</v>
      </c>
      <c r="D146">
        <v>0</v>
      </c>
      <c r="E146">
        <v>0</v>
      </c>
      <c r="F146">
        <v>0</v>
      </c>
      <c r="G146">
        <v>0</v>
      </c>
      <c r="H146">
        <v>0</v>
      </c>
      <c r="J146">
        <v>0</v>
      </c>
      <c r="K146">
        <v>0</v>
      </c>
      <c r="L146">
        <v>0</v>
      </c>
      <c r="M146">
        <v>0</v>
      </c>
      <c r="N146">
        <v>0</v>
      </c>
      <c r="O146">
        <v>0</v>
      </c>
      <c r="P146">
        <v>0</v>
      </c>
      <c r="Q146">
        <v>0</v>
      </c>
      <c r="R146">
        <v>0</v>
      </c>
      <c r="S146">
        <v>243</v>
      </c>
      <c r="U146">
        <v>0</v>
      </c>
      <c r="V146">
        <v>0</v>
      </c>
      <c r="W146">
        <v>0</v>
      </c>
      <c r="X146">
        <v>0</v>
      </c>
      <c r="Y146">
        <v>0</v>
      </c>
      <c r="Z146">
        <v>0</v>
      </c>
      <c r="AA146">
        <v>0</v>
      </c>
      <c r="AB146">
        <v>0</v>
      </c>
      <c r="AC146">
        <v>0</v>
      </c>
      <c r="AD146">
        <v>0</v>
      </c>
      <c r="AE146">
        <v>0</v>
      </c>
      <c r="AF146">
        <v>0</v>
      </c>
      <c r="AG146">
        <v>0</v>
      </c>
      <c r="AH146">
        <v>0</v>
      </c>
      <c r="AI146">
        <v>0</v>
      </c>
      <c r="AK146">
        <v>243</v>
      </c>
    </row>
    <row r="147" spans="2:37">
      <c r="B147">
        <v>1300</v>
      </c>
      <c r="C147">
        <v>0</v>
      </c>
      <c r="D147">
        <v>0</v>
      </c>
      <c r="E147">
        <v>0</v>
      </c>
      <c r="F147">
        <v>0</v>
      </c>
      <c r="G147">
        <v>0</v>
      </c>
      <c r="H147">
        <v>0</v>
      </c>
      <c r="J147">
        <v>0</v>
      </c>
      <c r="K147">
        <v>0</v>
      </c>
      <c r="L147">
        <v>0</v>
      </c>
      <c r="M147">
        <v>0</v>
      </c>
      <c r="N147">
        <v>0</v>
      </c>
      <c r="O147">
        <v>0</v>
      </c>
      <c r="P147">
        <v>157</v>
      </c>
      <c r="Q147">
        <v>0</v>
      </c>
      <c r="R147">
        <v>0</v>
      </c>
      <c r="S147">
        <v>0</v>
      </c>
      <c r="U147">
        <v>583</v>
      </c>
      <c r="V147">
        <v>0</v>
      </c>
      <c r="W147">
        <v>0</v>
      </c>
      <c r="X147">
        <v>0</v>
      </c>
      <c r="Y147">
        <v>0</v>
      </c>
      <c r="Z147">
        <v>0</v>
      </c>
      <c r="AA147">
        <v>0</v>
      </c>
      <c r="AB147">
        <v>330</v>
      </c>
      <c r="AC147">
        <v>0</v>
      </c>
      <c r="AD147">
        <v>0</v>
      </c>
      <c r="AE147">
        <v>152</v>
      </c>
      <c r="AF147">
        <v>0</v>
      </c>
      <c r="AG147">
        <v>0</v>
      </c>
      <c r="AH147">
        <v>95</v>
      </c>
      <c r="AI147">
        <v>0</v>
      </c>
      <c r="AK147">
        <v>1317</v>
      </c>
    </row>
    <row r="148" spans="2:37">
      <c r="B148">
        <v>1400</v>
      </c>
      <c r="C148">
        <v>0</v>
      </c>
      <c r="D148">
        <v>0</v>
      </c>
      <c r="E148">
        <v>232</v>
      </c>
      <c r="F148">
        <v>111</v>
      </c>
      <c r="G148">
        <v>608</v>
      </c>
      <c r="H148">
        <v>0</v>
      </c>
      <c r="J148">
        <v>1257</v>
      </c>
      <c r="K148">
        <v>0</v>
      </c>
      <c r="L148">
        <v>0</v>
      </c>
      <c r="M148">
        <v>1011</v>
      </c>
      <c r="N148">
        <v>402</v>
      </c>
      <c r="O148">
        <v>270</v>
      </c>
      <c r="P148">
        <v>0</v>
      </c>
      <c r="Q148">
        <v>0</v>
      </c>
      <c r="R148">
        <v>242</v>
      </c>
      <c r="S148">
        <v>383</v>
      </c>
      <c r="U148">
        <v>0</v>
      </c>
      <c r="V148">
        <v>0</v>
      </c>
      <c r="W148">
        <v>0</v>
      </c>
      <c r="X148">
        <v>452</v>
      </c>
      <c r="Y148">
        <v>181</v>
      </c>
      <c r="Z148">
        <v>0</v>
      </c>
      <c r="AA148">
        <v>0</v>
      </c>
      <c r="AB148">
        <v>729</v>
      </c>
      <c r="AC148">
        <v>0</v>
      </c>
      <c r="AD148">
        <v>0</v>
      </c>
      <c r="AE148">
        <v>0</v>
      </c>
      <c r="AF148">
        <v>232</v>
      </c>
      <c r="AG148">
        <v>0</v>
      </c>
      <c r="AH148">
        <v>61</v>
      </c>
      <c r="AI148">
        <v>0</v>
      </c>
      <c r="AK148">
        <v>6171</v>
      </c>
    </row>
    <row r="149" spans="2:37">
      <c r="B149">
        <v>1500</v>
      </c>
      <c r="C149">
        <v>62</v>
      </c>
      <c r="D149">
        <v>0</v>
      </c>
      <c r="E149">
        <v>722</v>
      </c>
      <c r="F149">
        <v>588</v>
      </c>
      <c r="G149">
        <v>817</v>
      </c>
      <c r="H149">
        <v>90</v>
      </c>
      <c r="J149">
        <v>3021</v>
      </c>
      <c r="K149">
        <v>1604</v>
      </c>
      <c r="L149">
        <v>2236</v>
      </c>
      <c r="M149">
        <v>1978</v>
      </c>
      <c r="N149">
        <v>2636</v>
      </c>
      <c r="O149">
        <v>1253</v>
      </c>
      <c r="P149">
        <v>823</v>
      </c>
      <c r="Q149">
        <v>3697</v>
      </c>
      <c r="R149">
        <v>1376</v>
      </c>
      <c r="S149">
        <v>1108</v>
      </c>
      <c r="U149">
        <v>0</v>
      </c>
      <c r="V149">
        <v>0</v>
      </c>
      <c r="W149">
        <v>2888</v>
      </c>
      <c r="X149">
        <v>1842</v>
      </c>
      <c r="Y149">
        <v>1042</v>
      </c>
      <c r="Z149">
        <v>0</v>
      </c>
      <c r="AA149">
        <v>933</v>
      </c>
      <c r="AB149">
        <v>3293</v>
      </c>
      <c r="AC149">
        <v>2504</v>
      </c>
      <c r="AD149">
        <v>469</v>
      </c>
      <c r="AE149">
        <v>507</v>
      </c>
      <c r="AF149">
        <v>959</v>
      </c>
      <c r="AG149">
        <v>250</v>
      </c>
      <c r="AH149">
        <v>308</v>
      </c>
      <c r="AI149">
        <v>235</v>
      </c>
      <c r="AK149">
        <v>37241</v>
      </c>
    </row>
    <row r="150" spans="2:37">
      <c r="B150">
        <v>1520</v>
      </c>
      <c r="C150">
        <v>0</v>
      </c>
      <c r="D150">
        <v>0</v>
      </c>
      <c r="E150">
        <v>0</v>
      </c>
      <c r="F150">
        <v>0</v>
      </c>
      <c r="G150">
        <v>0</v>
      </c>
      <c r="H150">
        <v>0</v>
      </c>
      <c r="J150">
        <v>0</v>
      </c>
      <c r="K150">
        <v>0</v>
      </c>
      <c r="L150">
        <v>0</v>
      </c>
      <c r="M150">
        <v>0</v>
      </c>
      <c r="N150">
        <v>0</v>
      </c>
      <c r="O150">
        <v>0</v>
      </c>
      <c r="P150">
        <v>0</v>
      </c>
      <c r="Q150">
        <v>451</v>
      </c>
      <c r="R150">
        <v>0</v>
      </c>
      <c r="S150">
        <v>0</v>
      </c>
      <c r="U150">
        <v>0</v>
      </c>
      <c r="V150">
        <v>0</v>
      </c>
      <c r="W150">
        <v>0</v>
      </c>
      <c r="X150">
        <v>0</v>
      </c>
      <c r="Y150">
        <v>0</v>
      </c>
      <c r="Z150">
        <v>0</v>
      </c>
      <c r="AA150">
        <v>0</v>
      </c>
      <c r="AB150">
        <v>0</v>
      </c>
      <c r="AC150">
        <v>0</v>
      </c>
      <c r="AD150">
        <v>0</v>
      </c>
      <c r="AE150">
        <v>0</v>
      </c>
      <c r="AF150">
        <v>0</v>
      </c>
      <c r="AG150">
        <v>0</v>
      </c>
      <c r="AH150">
        <v>0</v>
      </c>
      <c r="AI150">
        <v>0</v>
      </c>
      <c r="AK150">
        <v>451</v>
      </c>
    </row>
    <row r="151" spans="2:37">
      <c r="B151">
        <v>1600</v>
      </c>
      <c r="C151">
        <v>0</v>
      </c>
      <c r="D151">
        <v>0</v>
      </c>
      <c r="E151">
        <v>98</v>
      </c>
      <c r="F151">
        <v>0</v>
      </c>
      <c r="G151">
        <v>0</v>
      </c>
      <c r="H151">
        <v>0</v>
      </c>
      <c r="J151">
        <v>0</v>
      </c>
      <c r="K151">
        <v>315</v>
      </c>
      <c r="L151">
        <v>147</v>
      </c>
      <c r="M151">
        <v>0</v>
      </c>
      <c r="N151">
        <v>0</v>
      </c>
      <c r="O151">
        <v>577</v>
      </c>
      <c r="P151">
        <v>0</v>
      </c>
      <c r="Q151">
        <v>0</v>
      </c>
      <c r="R151">
        <v>0</v>
      </c>
      <c r="S151">
        <v>0</v>
      </c>
      <c r="U151">
        <v>0</v>
      </c>
      <c r="V151">
        <v>0</v>
      </c>
      <c r="W151">
        <v>0</v>
      </c>
      <c r="X151">
        <v>0</v>
      </c>
      <c r="Y151">
        <v>0</v>
      </c>
      <c r="Z151">
        <v>0</v>
      </c>
      <c r="AA151">
        <v>0</v>
      </c>
      <c r="AB151">
        <v>273</v>
      </c>
      <c r="AC151">
        <v>0</v>
      </c>
      <c r="AD151">
        <v>0</v>
      </c>
      <c r="AE151">
        <v>0</v>
      </c>
      <c r="AF151">
        <v>0</v>
      </c>
      <c r="AG151">
        <v>0</v>
      </c>
      <c r="AH151">
        <v>0</v>
      </c>
      <c r="AI151">
        <v>0</v>
      </c>
      <c r="AK151">
        <v>1410</v>
      </c>
    </row>
    <row r="152" spans="2:37">
      <c r="B152">
        <v>1700</v>
      </c>
      <c r="C152">
        <v>0</v>
      </c>
      <c r="D152">
        <v>0</v>
      </c>
      <c r="E152">
        <v>0</v>
      </c>
      <c r="F152">
        <v>113</v>
      </c>
      <c r="G152">
        <v>0</v>
      </c>
      <c r="H152">
        <v>0</v>
      </c>
      <c r="J152">
        <v>0</v>
      </c>
      <c r="K152">
        <v>0</v>
      </c>
      <c r="L152">
        <v>132</v>
      </c>
      <c r="M152">
        <v>0</v>
      </c>
      <c r="N152">
        <v>0</v>
      </c>
      <c r="O152">
        <v>436</v>
      </c>
      <c r="P152">
        <v>0</v>
      </c>
      <c r="Q152">
        <v>0</v>
      </c>
      <c r="R152">
        <v>0</v>
      </c>
      <c r="S152">
        <v>0</v>
      </c>
      <c r="U152">
        <v>0</v>
      </c>
      <c r="V152">
        <v>0</v>
      </c>
      <c r="W152">
        <v>0</v>
      </c>
      <c r="X152">
        <v>0</v>
      </c>
      <c r="Y152">
        <v>0</v>
      </c>
      <c r="Z152">
        <v>0</v>
      </c>
      <c r="AA152">
        <v>0</v>
      </c>
      <c r="AB152">
        <v>0</v>
      </c>
      <c r="AC152">
        <v>0</v>
      </c>
      <c r="AD152">
        <v>0</v>
      </c>
      <c r="AE152">
        <v>0</v>
      </c>
      <c r="AF152">
        <v>0</v>
      </c>
      <c r="AG152">
        <v>0</v>
      </c>
      <c r="AH152">
        <v>0</v>
      </c>
      <c r="AI152">
        <v>0</v>
      </c>
      <c r="AK152">
        <v>681</v>
      </c>
    </row>
    <row r="153" spans="2:37">
      <c r="B153">
        <v>1800</v>
      </c>
      <c r="C153">
        <v>0</v>
      </c>
      <c r="D153">
        <v>0</v>
      </c>
      <c r="E153">
        <v>0</v>
      </c>
      <c r="F153">
        <v>0</v>
      </c>
      <c r="G153">
        <v>0</v>
      </c>
      <c r="H153">
        <v>0</v>
      </c>
      <c r="J153">
        <v>0</v>
      </c>
      <c r="K153">
        <v>0</v>
      </c>
      <c r="L153">
        <v>0</v>
      </c>
      <c r="M153">
        <v>0</v>
      </c>
      <c r="N153">
        <v>0</v>
      </c>
      <c r="O153">
        <v>836</v>
      </c>
      <c r="P153">
        <v>0</v>
      </c>
      <c r="Q153">
        <v>0</v>
      </c>
      <c r="R153">
        <v>0</v>
      </c>
      <c r="S153">
        <v>0</v>
      </c>
      <c r="U153">
        <v>0</v>
      </c>
      <c r="V153">
        <v>0</v>
      </c>
      <c r="W153">
        <v>0</v>
      </c>
      <c r="X153">
        <v>0</v>
      </c>
      <c r="Y153">
        <v>0</v>
      </c>
      <c r="Z153">
        <v>0</v>
      </c>
      <c r="AA153">
        <v>0</v>
      </c>
      <c r="AB153">
        <v>0</v>
      </c>
      <c r="AC153">
        <v>0</v>
      </c>
      <c r="AD153">
        <v>0</v>
      </c>
      <c r="AE153">
        <v>0</v>
      </c>
      <c r="AF153">
        <v>232</v>
      </c>
      <c r="AG153">
        <v>0</v>
      </c>
      <c r="AH153">
        <v>0</v>
      </c>
      <c r="AI153">
        <v>0</v>
      </c>
      <c r="AK153">
        <v>1068</v>
      </c>
    </row>
    <row r="154" spans="2:37">
      <c r="B154">
        <v>2000</v>
      </c>
      <c r="C154">
        <v>0</v>
      </c>
      <c r="D154">
        <v>0</v>
      </c>
      <c r="E154">
        <v>1889</v>
      </c>
      <c r="F154">
        <v>1307</v>
      </c>
      <c r="G154">
        <v>0</v>
      </c>
      <c r="H154">
        <v>72</v>
      </c>
      <c r="J154">
        <v>2903</v>
      </c>
      <c r="K154">
        <v>2974</v>
      </c>
      <c r="L154">
        <v>2313</v>
      </c>
      <c r="M154">
        <v>4221</v>
      </c>
      <c r="N154">
        <v>1057</v>
      </c>
      <c r="O154">
        <v>4614</v>
      </c>
      <c r="P154">
        <v>672</v>
      </c>
      <c r="Q154">
        <v>4519</v>
      </c>
      <c r="R154">
        <v>259</v>
      </c>
      <c r="S154">
        <v>291</v>
      </c>
      <c r="U154">
        <v>0</v>
      </c>
      <c r="V154">
        <v>253</v>
      </c>
      <c r="W154">
        <v>2154</v>
      </c>
      <c r="X154">
        <v>535</v>
      </c>
      <c r="Y154">
        <v>968</v>
      </c>
      <c r="Z154">
        <v>127</v>
      </c>
      <c r="AA154">
        <v>1450</v>
      </c>
      <c r="AB154">
        <v>3052</v>
      </c>
      <c r="AC154">
        <v>1177</v>
      </c>
      <c r="AD154">
        <v>630</v>
      </c>
      <c r="AE154">
        <v>719</v>
      </c>
      <c r="AF154">
        <v>205</v>
      </c>
      <c r="AG154">
        <v>161</v>
      </c>
      <c r="AH154">
        <v>143</v>
      </c>
      <c r="AI154">
        <v>1047</v>
      </c>
      <c r="AK154">
        <v>39712</v>
      </c>
    </row>
    <row r="155" spans="2:37">
      <c r="B155">
        <v>2100</v>
      </c>
      <c r="C155">
        <v>0</v>
      </c>
      <c r="D155">
        <v>0</v>
      </c>
      <c r="E155">
        <v>0</v>
      </c>
      <c r="F155">
        <v>0</v>
      </c>
      <c r="G155">
        <v>0</v>
      </c>
      <c r="H155">
        <v>0</v>
      </c>
      <c r="J155">
        <v>0</v>
      </c>
      <c r="K155">
        <v>0</v>
      </c>
      <c r="L155">
        <v>0</v>
      </c>
      <c r="M155">
        <v>0</v>
      </c>
      <c r="N155">
        <v>250</v>
      </c>
      <c r="O155">
        <v>0</v>
      </c>
      <c r="P155">
        <v>0</v>
      </c>
      <c r="Q155">
        <v>0</v>
      </c>
      <c r="R155">
        <v>0</v>
      </c>
      <c r="S155">
        <v>383</v>
      </c>
      <c r="U155">
        <v>625</v>
      </c>
      <c r="V155">
        <v>0</v>
      </c>
      <c r="W155">
        <v>0</v>
      </c>
      <c r="X155">
        <v>0</v>
      </c>
      <c r="Y155">
        <v>0</v>
      </c>
      <c r="Z155">
        <v>0</v>
      </c>
      <c r="AA155">
        <v>413</v>
      </c>
      <c r="AB155">
        <v>0</v>
      </c>
      <c r="AC155">
        <v>0</v>
      </c>
      <c r="AD155">
        <v>0</v>
      </c>
      <c r="AE155">
        <v>0</v>
      </c>
      <c r="AF155">
        <v>0</v>
      </c>
      <c r="AG155">
        <v>0</v>
      </c>
      <c r="AH155">
        <v>0</v>
      </c>
      <c r="AI155">
        <v>0</v>
      </c>
      <c r="AK155">
        <v>1671</v>
      </c>
    </row>
    <row r="156" spans="2:37">
      <c r="B156">
        <v>2200</v>
      </c>
      <c r="C156">
        <v>0</v>
      </c>
      <c r="D156">
        <v>0</v>
      </c>
      <c r="E156">
        <v>0</v>
      </c>
      <c r="F156">
        <v>0</v>
      </c>
      <c r="G156">
        <v>0</v>
      </c>
      <c r="H156">
        <v>0</v>
      </c>
      <c r="J156">
        <v>0</v>
      </c>
      <c r="K156">
        <v>0</v>
      </c>
      <c r="L156">
        <v>0</v>
      </c>
      <c r="M156">
        <v>0</v>
      </c>
      <c r="N156">
        <v>0</v>
      </c>
      <c r="O156">
        <v>0</v>
      </c>
      <c r="P156">
        <v>0</v>
      </c>
      <c r="Q156">
        <v>0</v>
      </c>
      <c r="R156">
        <v>0</v>
      </c>
      <c r="S156">
        <v>0</v>
      </c>
      <c r="U156">
        <v>0</v>
      </c>
      <c r="V156">
        <v>0</v>
      </c>
      <c r="W156">
        <v>0</v>
      </c>
      <c r="X156">
        <v>0</v>
      </c>
      <c r="Y156">
        <v>0</v>
      </c>
      <c r="Z156">
        <v>0</v>
      </c>
      <c r="AA156">
        <v>0</v>
      </c>
      <c r="AB156">
        <v>0</v>
      </c>
      <c r="AC156">
        <v>0</v>
      </c>
      <c r="AD156">
        <v>0</v>
      </c>
      <c r="AE156">
        <v>0</v>
      </c>
      <c r="AF156">
        <v>0</v>
      </c>
      <c r="AG156">
        <v>0</v>
      </c>
      <c r="AH156">
        <v>7</v>
      </c>
      <c r="AI156">
        <v>0</v>
      </c>
      <c r="AK156">
        <v>7</v>
      </c>
    </row>
    <row r="157" spans="2:37">
      <c r="B157">
        <v>2500</v>
      </c>
      <c r="C157">
        <v>0</v>
      </c>
      <c r="D157">
        <v>0</v>
      </c>
      <c r="E157">
        <v>178</v>
      </c>
      <c r="F157">
        <v>113</v>
      </c>
      <c r="G157">
        <v>547</v>
      </c>
      <c r="H157">
        <v>0</v>
      </c>
      <c r="J157">
        <v>0</v>
      </c>
      <c r="K157">
        <v>170</v>
      </c>
      <c r="L157">
        <v>275</v>
      </c>
      <c r="M157">
        <v>1574</v>
      </c>
      <c r="N157">
        <v>1057</v>
      </c>
      <c r="O157">
        <v>0</v>
      </c>
      <c r="P157">
        <v>299</v>
      </c>
      <c r="Q157">
        <v>696</v>
      </c>
      <c r="R157">
        <v>0</v>
      </c>
      <c r="S157">
        <v>202</v>
      </c>
      <c r="U157">
        <v>0</v>
      </c>
      <c r="V157">
        <v>0</v>
      </c>
      <c r="W157">
        <v>0</v>
      </c>
      <c r="X157">
        <v>466</v>
      </c>
      <c r="Y157">
        <v>0</v>
      </c>
      <c r="Z157">
        <v>0</v>
      </c>
      <c r="AA157">
        <v>0</v>
      </c>
      <c r="AB157">
        <v>1436</v>
      </c>
      <c r="AC157">
        <v>0</v>
      </c>
      <c r="AD157">
        <v>366</v>
      </c>
      <c r="AE157">
        <v>0</v>
      </c>
      <c r="AF157">
        <v>0</v>
      </c>
      <c r="AG157">
        <v>0</v>
      </c>
      <c r="AH157">
        <v>0</v>
      </c>
      <c r="AI157">
        <v>0</v>
      </c>
      <c r="AK157">
        <v>7379</v>
      </c>
    </row>
    <row r="158" spans="2:37">
      <c r="B158">
        <v>2800</v>
      </c>
      <c r="C158">
        <v>0</v>
      </c>
      <c r="D158">
        <v>0</v>
      </c>
      <c r="E158">
        <v>0</v>
      </c>
      <c r="F158">
        <v>112</v>
      </c>
      <c r="G158">
        <v>0</v>
      </c>
      <c r="H158">
        <v>0</v>
      </c>
      <c r="J158">
        <v>0</v>
      </c>
      <c r="K158">
        <v>0</v>
      </c>
      <c r="L158">
        <v>0</v>
      </c>
      <c r="M158">
        <v>0</v>
      </c>
      <c r="N158">
        <v>0</v>
      </c>
      <c r="O158">
        <v>0</v>
      </c>
      <c r="P158">
        <v>0</v>
      </c>
      <c r="Q158">
        <v>0</v>
      </c>
      <c r="R158">
        <v>0</v>
      </c>
      <c r="S158">
        <v>0</v>
      </c>
      <c r="U158">
        <v>0</v>
      </c>
      <c r="V158">
        <v>0</v>
      </c>
      <c r="W158">
        <v>0</v>
      </c>
      <c r="X158">
        <v>0</v>
      </c>
      <c r="Y158">
        <v>0</v>
      </c>
      <c r="Z158">
        <v>0</v>
      </c>
      <c r="AA158">
        <v>0</v>
      </c>
      <c r="AB158">
        <v>0</v>
      </c>
      <c r="AC158">
        <v>0</v>
      </c>
      <c r="AD158">
        <v>0</v>
      </c>
      <c r="AE158">
        <v>0</v>
      </c>
      <c r="AF158">
        <v>0</v>
      </c>
      <c r="AG158">
        <v>0</v>
      </c>
      <c r="AH158">
        <v>0</v>
      </c>
      <c r="AI158">
        <v>0</v>
      </c>
      <c r="AK158">
        <v>112</v>
      </c>
    </row>
    <row r="159" spans="2:37">
      <c r="B159">
        <v>2900</v>
      </c>
      <c r="C159">
        <v>0</v>
      </c>
      <c r="D159">
        <v>0</v>
      </c>
      <c r="E159">
        <v>0</v>
      </c>
      <c r="F159">
        <v>0</v>
      </c>
      <c r="G159">
        <v>0</v>
      </c>
      <c r="H159">
        <v>0</v>
      </c>
      <c r="J159">
        <v>0</v>
      </c>
      <c r="K159">
        <v>0</v>
      </c>
      <c r="L159">
        <v>0</v>
      </c>
      <c r="M159">
        <v>0</v>
      </c>
      <c r="N159">
        <v>0</v>
      </c>
      <c r="O159">
        <v>0</v>
      </c>
      <c r="P159">
        <v>0</v>
      </c>
      <c r="Q159">
        <v>0</v>
      </c>
      <c r="R159">
        <v>0</v>
      </c>
      <c r="S159">
        <v>0</v>
      </c>
      <c r="U159">
        <v>0</v>
      </c>
      <c r="V159">
        <v>0</v>
      </c>
      <c r="W159">
        <v>0</v>
      </c>
      <c r="X159">
        <v>0</v>
      </c>
      <c r="Y159">
        <v>0</v>
      </c>
      <c r="Z159">
        <v>0</v>
      </c>
      <c r="AA159">
        <v>0</v>
      </c>
      <c r="AB159">
        <v>0</v>
      </c>
      <c r="AC159">
        <v>154</v>
      </c>
      <c r="AD159">
        <v>0</v>
      </c>
      <c r="AE159">
        <v>0</v>
      </c>
      <c r="AF159">
        <v>0</v>
      </c>
      <c r="AG159">
        <v>0</v>
      </c>
      <c r="AH159">
        <v>0</v>
      </c>
      <c r="AI159">
        <v>0</v>
      </c>
      <c r="AK159">
        <v>154</v>
      </c>
    </row>
    <row r="160" spans="2:37">
      <c r="B160">
        <v>3000</v>
      </c>
      <c r="C160">
        <v>0</v>
      </c>
      <c r="D160">
        <v>0</v>
      </c>
      <c r="E160">
        <v>849</v>
      </c>
      <c r="F160">
        <v>282</v>
      </c>
      <c r="G160">
        <v>0</v>
      </c>
      <c r="H160">
        <v>0</v>
      </c>
      <c r="J160">
        <v>1720</v>
      </c>
      <c r="K160">
        <v>526</v>
      </c>
      <c r="L160">
        <v>706</v>
      </c>
      <c r="M160">
        <v>1411</v>
      </c>
      <c r="N160">
        <v>1539</v>
      </c>
      <c r="O160">
        <v>1834</v>
      </c>
      <c r="P160">
        <v>299</v>
      </c>
      <c r="Q160">
        <v>432</v>
      </c>
      <c r="R160">
        <v>0</v>
      </c>
      <c r="S160">
        <v>318</v>
      </c>
      <c r="U160">
        <v>0</v>
      </c>
      <c r="V160">
        <v>0</v>
      </c>
      <c r="W160">
        <v>270</v>
      </c>
      <c r="X160">
        <v>644</v>
      </c>
      <c r="Y160">
        <v>181</v>
      </c>
      <c r="Z160">
        <v>0</v>
      </c>
      <c r="AA160">
        <v>761</v>
      </c>
      <c r="AB160">
        <v>0</v>
      </c>
      <c r="AC160">
        <v>221</v>
      </c>
      <c r="AD160">
        <v>521</v>
      </c>
      <c r="AE160">
        <v>0</v>
      </c>
      <c r="AF160">
        <v>0</v>
      </c>
      <c r="AG160">
        <v>73</v>
      </c>
      <c r="AH160">
        <v>191</v>
      </c>
      <c r="AI160">
        <v>0</v>
      </c>
      <c r="AK160">
        <v>12778</v>
      </c>
    </row>
    <row r="161" spans="1:37">
      <c r="B161">
        <v>3500</v>
      </c>
      <c r="C161">
        <v>0</v>
      </c>
      <c r="D161">
        <v>0</v>
      </c>
      <c r="E161">
        <v>0</v>
      </c>
      <c r="F161">
        <v>0</v>
      </c>
      <c r="G161">
        <v>0</v>
      </c>
      <c r="H161">
        <v>128</v>
      </c>
      <c r="J161">
        <v>0</v>
      </c>
      <c r="K161">
        <v>0</v>
      </c>
      <c r="L161">
        <v>81</v>
      </c>
      <c r="M161">
        <v>0</v>
      </c>
      <c r="N161">
        <v>0</v>
      </c>
      <c r="O161">
        <v>0</v>
      </c>
      <c r="P161">
        <v>0</v>
      </c>
      <c r="Q161">
        <v>0</v>
      </c>
      <c r="R161">
        <v>0</v>
      </c>
      <c r="S161">
        <v>0</v>
      </c>
      <c r="U161">
        <v>0</v>
      </c>
      <c r="V161">
        <v>0</v>
      </c>
      <c r="W161">
        <v>0</v>
      </c>
      <c r="X161">
        <v>0</v>
      </c>
      <c r="Y161">
        <v>0</v>
      </c>
      <c r="Z161">
        <v>0</v>
      </c>
      <c r="AA161">
        <v>0</v>
      </c>
      <c r="AB161">
        <v>0</v>
      </c>
      <c r="AC161">
        <v>0</v>
      </c>
      <c r="AD161">
        <v>0</v>
      </c>
      <c r="AE161">
        <v>0</v>
      </c>
      <c r="AF161">
        <v>0</v>
      </c>
      <c r="AG161">
        <v>0</v>
      </c>
      <c r="AH161">
        <v>36</v>
      </c>
      <c r="AI161">
        <v>0</v>
      </c>
      <c r="AK161">
        <v>245</v>
      </c>
    </row>
    <row r="162" spans="1:37">
      <c r="B162">
        <v>4000</v>
      </c>
      <c r="C162">
        <v>0</v>
      </c>
      <c r="D162">
        <v>0</v>
      </c>
      <c r="E162">
        <v>0</v>
      </c>
      <c r="F162">
        <v>0</v>
      </c>
      <c r="G162">
        <v>0</v>
      </c>
      <c r="H162">
        <v>0</v>
      </c>
      <c r="J162">
        <v>0</v>
      </c>
      <c r="K162">
        <v>0</v>
      </c>
      <c r="L162">
        <v>92</v>
      </c>
      <c r="M162">
        <v>0</v>
      </c>
      <c r="N162">
        <v>0</v>
      </c>
      <c r="O162">
        <v>0</v>
      </c>
      <c r="P162">
        <v>0</v>
      </c>
      <c r="Q162">
        <v>358</v>
      </c>
      <c r="R162">
        <v>0</v>
      </c>
      <c r="S162">
        <v>0</v>
      </c>
      <c r="U162">
        <v>0</v>
      </c>
      <c r="V162">
        <v>0</v>
      </c>
      <c r="W162">
        <v>559</v>
      </c>
      <c r="X162">
        <v>172</v>
      </c>
      <c r="Y162">
        <v>0</v>
      </c>
      <c r="Z162">
        <v>0</v>
      </c>
      <c r="AA162">
        <v>0</v>
      </c>
      <c r="AB162">
        <v>330</v>
      </c>
      <c r="AC162">
        <v>0</v>
      </c>
      <c r="AD162">
        <v>0</v>
      </c>
      <c r="AE162">
        <v>0</v>
      </c>
      <c r="AF162">
        <v>0</v>
      </c>
      <c r="AG162">
        <v>0</v>
      </c>
      <c r="AH162">
        <v>0</v>
      </c>
      <c r="AI162">
        <v>542</v>
      </c>
      <c r="AK162">
        <v>2053</v>
      </c>
    </row>
    <row r="163" spans="1:37">
      <c r="B163">
        <v>4800</v>
      </c>
      <c r="C163">
        <v>0</v>
      </c>
      <c r="D163">
        <v>0</v>
      </c>
      <c r="E163">
        <v>0</v>
      </c>
      <c r="F163">
        <v>0</v>
      </c>
      <c r="G163">
        <v>0</v>
      </c>
      <c r="H163">
        <v>0</v>
      </c>
      <c r="J163">
        <v>0</v>
      </c>
      <c r="K163">
        <v>0</v>
      </c>
      <c r="L163">
        <v>0</v>
      </c>
      <c r="M163">
        <v>0</v>
      </c>
      <c r="N163">
        <v>0</v>
      </c>
      <c r="O163">
        <v>0</v>
      </c>
      <c r="P163">
        <v>0</v>
      </c>
      <c r="Q163">
        <v>358</v>
      </c>
      <c r="R163">
        <v>0</v>
      </c>
      <c r="S163">
        <v>0</v>
      </c>
      <c r="U163">
        <v>0</v>
      </c>
      <c r="V163">
        <v>0</v>
      </c>
      <c r="W163">
        <v>0</v>
      </c>
      <c r="X163">
        <v>0</v>
      </c>
      <c r="Y163">
        <v>0</v>
      </c>
      <c r="Z163">
        <v>0</v>
      </c>
      <c r="AA163">
        <v>0</v>
      </c>
      <c r="AB163">
        <v>0</v>
      </c>
      <c r="AC163">
        <v>0</v>
      </c>
      <c r="AD163">
        <v>0</v>
      </c>
      <c r="AE163">
        <v>0</v>
      </c>
      <c r="AF163">
        <v>0</v>
      </c>
      <c r="AG163">
        <v>0</v>
      </c>
      <c r="AH163">
        <v>0</v>
      </c>
      <c r="AI163">
        <v>0</v>
      </c>
      <c r="AK163">
        <v>358</v>
      </c>
    </row>
    <row r="164" spans="1:37">
      <c r="B164">
        <v>5000</v>
      </c>
      <c r="C164">
        <v>0</v>
      </c>
      <c r="D164">
        <v>186</v>
      </c>
      <c r="E164">
        <v>259</v>
      </c>
      <c r="F164">
        <v>0</v>
      </c>
      <c r="G164">
        <v>543</v>
      </c>
      <c r="H164">
        <v>0</v>
      </c>
      <c r="J164">
        <v>0</v>
      </c>
      <c r="K164">
        <v>171</v>
      </c>
      <c r="L164">
        <v>106</v>
      </c>
      <c r="M164">
        <v>410</v>
      </c>
      <c r="N164">
        <v>0</v>
      </c>
      <c r="O164">
        <v>0</v>
      </c>
      <c r="P164">
        <v>0</v>
      </c>
      <c r="Q164">
        <v>0</v>
      </c>
      <c r="R164">
        <v>0</v>
      </c>
      <c r="S164">
        <v>0</v>
      </c>
      <c r="U164">
        <v>0</v>
      </c>
      <c r="V164">
        <v>0</v>
      </c>
      <c r="W164">
        <v>0</v>
      </c>
      <c r="X164">
        <v>0</v>
      </c>
      <c r="Y164">
        <v>0</v>
      </c>
      <c r="Z164">
        <v>0</v>
      </c>
      <c r="AA164">
        <v>0</v>
      </c>
      <c r="AB164">
        <v>590</v>
      </c>
      <c r="AC164">
        <v>0</v>
      </c>
      <c r="AD164">
        <v>0</v>
      </c>
      <c r="AE164">
        <v>0</v>
      </c>
      <c r="AF164">
        <v>0</v>
      </c>
      <c r="AG164">
        <v>0</v>
      </c>
      <c r="AH164">
        <v>0</v>
      </c>
      <c r="AI164">
        <v>0</v>
      </c>
      <c r="AK164">
        <v>2265</v>
      </c>
    </row>
    <row r="165" spans="1:37">
      <c r="B165">
        <v>6000</v>
      </c>
      <c r="C165">
        <v>0</v>
      </c>
      <c r="D165">
        <v>0</v>
      </c>
      <c r="E165">
        <v>93</v>
      </c>
      <c r="F165">
        <v>0</v>
      </c>
      <c r="G165">
        <v>0</v>
      </c>
      <c r="H165">
        <v>0</v>
      </c>
      <c r="J165">
        <v>0</v>
      </c>
      <c r="K165">
        <v>0</v>
      </c>
      <c r="L165">
        <v>117</v>
      </c>
      <c r="M165">
        <v>0</v>
      </c>
      <c r="N165">
        <v>0</v>
      </c>
      <c r="O165">
        <v>0</v>
      </c>
      <c r="P165">
        <v>0</v>
      </c>
      <c r="Q165">
        <v>0</v>
      </c>
      <c r="R165">
        <v>0</v>
      </c>
      <c r="S165">
        <v>0</v>
      </c>
      <c r="U165">
        <v>0</v>
      </c>
      <c r="V165">
        <v>0</v>
      </c>
      <c r="W165">
        <v>0</v>
      </c>
      <c r="X165">
        <v>0</v>
      </c>
      <c r="Y165">
        <v>0</v>
      </c>
      <c r="Z165">
        <v>0</v>
      </c>
      <c r="AA165">
        <v>0</v>
      </c>
      <c r="AB165">
        <v>0</v>
      </c>
      <c r="AC165">
        <v>0</v>
      </c>
      <c r="AD165">
        <v>0</v>
      </c>
      <c r="AE165">
        <v>0</v>
      </c>
      <c r="AF165">
        <v>0</v>
      </c>
      <c r="AG165">
        <v>0</v>
      </c>
      <c r="AH165">
        <v>0</v>
      </c>
      <c r="AI165">
        <v>0</v>
      </c>
      <c r="AK165">
        <v>210</v>
      </c>
    </row>
    <row r="166" spans="1:37">
      <c r="B166">
        <v>7000</v>
      </c>
      <c r="C166">
        <v>0</v>
      </c>
      <c r="D166">
        <v>0</v>
      </c>
      <c r="E166">
        <v>138</v>
      </c>
      <c r="F166">
        <v>0</v>
      </c>
      <c r="G166">
        <v>0</v>
      </c>
      <c r="H166">
        <v>0</v>
      </c>
      <c r="J166">
        <v>0</v>
      </c>
      <c r="K166">
        <v>0</v>
      </c>
      <c r="L166">
        <v>0</v>
      </c>
      <c r="M166">
        <v>0</v>
      </c>
      <c r="N166">
        <v>0</v>
      </c>
      <c r="O166">
        <v>1094</v>
      </c>
      <c r="P166">
        <v>0</v>
      </c>
      <c r="Q166">
        <v>0</v>
      </c>
      <c r="R166">
        <v>0</v>
      </c>
      <c r="S166">
        <v>0</v>
      </c>
      <c r="U166">
        <v>0</v>
      </c>
      <c r="V166">
        <v>0</v>
      </c>
      <c r="W166">
        <v>0</v>
      </c>
      <c r="X166">
        <v>0</v>
      </c>
      <c r="Y166">
        <v>196</v>
      </c>
      <c r="Z166">
        <v>0</v>
      </c>
      <c r="AA166">
        <v>0</v>
      </c>
      <c r="AB166">
        <v>0</v>
      </c>
      <c r="AC166">
        <v>0</v>
      </c>
      <c r="AD166">
        <v>0</v>
      </c>
      <c r="AE166">
        <v>0</v>
      </c>
      <c r="AF166">
        <v>244</v>
      </c>
      <c r="AG166">
        <v>0</v>
      </c>
      <c r="AH166">
        <v>0</v>
      </c>
      <c r="AI166">
        <v>0</v>
      </c>
      <c r="AK166">
        <v>1672</v>
      </c>
    </row>
    <row r="167" spans="1:37">
      <c r="B167">
        <v>10000</v>
      </c>
      <c r="C167">
        <v>0</v>
      </c>
      <c r="D167">
        <v>0</v>
      </c>
      <c r="E167">
        <v>0</v>
      </c>
      <c r="F167">
        <v>0</v>
      </c>
      <c r="G167">
        <v>0</v>
      </c>
      <c r="H167">
        <v>0</v>
      </c>
      <c r="J167">
        <v>0</v>
      </c>
      <c r="K167">
        <v>0</v>
      </c>
      <c r="L167">
        <v>0</v>
      </c>
      <c r="M167">
        <v>0</v>
      </c>
      <c r="N167">
        <v>0</v>
      </c>
      <c r="O167">
        <v>520</v>
      </c>
      <c r="P167">
        <v>0</v>
      </c>
      <c r="Q167">
        <v>0</v>
      </c>
      <c r="R167">
        <v>0</v>
      </c>
      <c r="S167">
        <v>0</v>
      </c>
      <c r="U167">
        <v>0</v>
      </c>
      <c r="V167">
        <v>0</v>
      </c>
      <c r="W167">
        <v>0</v>
      </c>
      <c r="X167">
        <v>0</v>
      </c>
      <c r="Y167">
        <v>0</v>
      </c>
      <c r="Z167">
        <v>0</v>
      </c>
      <c r="AA167">
        <v>0</v>
      </c>
      <c r="AB167">
        <v>0</v>
      </c>
      <c r="AC167">
        <v>0</v>
      </c>
      <c r="AD167">
        <v>0</v>
      </c>
      <c r="AE167">
        <v>0</v>
      </c>
      <c r="AF167">
        <v>0</v>
      </c>
      <c r="AG167">
        <v>0</v>
      </c>
      <c r="AH167">
        <v>0</v>
      </c>
      <c r="AI167">
        <v>0</v>
      </c>
      <c r="AK167">
        <v>520</v>
      </c>
    </row>
    <row r="168" spans="1:37">
      <c r="C168">
        <f t="shared" ref="C168:H168" si="3">SUM(C51:C167)</f>
        <v>38565</v>
      </c>
      <c r="D168">
        <f t="shared" si="3"/>
        <v>57008</v>
      </c>
      <c r="E168">
        <f t="shared" si="3"/>
        <v>45830</v>
      </c>
      <c r="F168">
        <f t="shared" si="3"/>
        <v>35721</v>
      </c>
      <c r="G168">
        <f t="shared" si="3"/>
        <v>170955</v>
      </c>
      <c r="H168">
        <f t="shared" si="3"/>
        <v>26814</v>
      </c>
      <c r="I168">
        <f>SUM(C168:H168)</f>
        <v>374893</v>
      </c>
      <c r="J168">
        <f t="shared" ref="J168:S168" si="4">SUM(J51:J167)</f>
        <v>136450</v>
      </c>
      <c r="K168">
        <f t="shared" si="4"/>
        <v>65041</v>
      </c>
      <c r="L168">
        <f t="shared" si="4"/>
        <v>49394</v>
      </c>
      <c r="M168">
        <f t="shared" si="4"/>
        <v>122681</v>
      </c>
      <c r="N168">
        <f t="shared" si="4"/>
        <v>73630</v>
      </c>
      <c r="O168">
        <f t="shared" si="4"/>
        <v>263006</v>
      </c>
      <c r="P168">
        <f t="shared" si="4"/>
        <v>99555</v>
      </c>
      <c r="Q168">
        <f t="shared" si="4"/>
        <v>138139</v>
      </c>
      <c r="R168">
        <f t="shared" si="4"/>
        <v>109398</v>
      </c>
      <c r="S168">
        <f t="shared" si="4"/>
        <v>108632</v>
      </c>
      <c r="T168">
        <f>SUM(J168:S168)</f>
        <v>1165926</v>
      </c>
      <c r="U168">
        <f t="shared" ref="U168:AI168" si="5">SUM(U51:U167)</f>
        <v>173862</v>
      </c>
      <c r="V168">
        <f t="shared" si="5"/>
        <v>114697</v>
      </c>
      <c r="W168">
        <f t="shared" si="5"/>
        <v>137033</v>
      </c>
      <c r="X168">
        <f t="shared" si="5"/>
        <v>69194</v>
      </c>
      <c r="Y168">
        <f t="shared" si="5"/>
        <v>81194</v>
      </c>
      <c r="Z168">
        <f t="shared" si="5"/>
        <v>19610</v>
      </c>
      <c r="AA168">
        <f t="shared" si="5"/>
        <v>146729</v>
      </c>
      <c r="AB168">
        <f t="shared" si="5"/>
        <v>124274</v>
      </c>
      <c r="AC168">
        <f t="shared" si="5"/>
        <v>75714</v>
      </c>
      <c r="AD168">
        <f t="shared" si="5"/>
        <v>103263</v>
      </c>
      <c r="AE168">
        <f t="shared" si="5"/>
        <v>60546</v>
      </c>
      <c r="AF168">
        <f t="shared" si="5"/>
        <v>76398</v>
      </c>
      <c r="AG168">
        <f t="shared" si="5"/>
        <v>25533</v>
      </c>
      <c r="AH168">
        <f t="shared" si="5"/>
        <v>16073</v>
      </c>
      <c r="AI168">
        <f t="shared" si="5"/>
        <v>66974</v>
      </c>
      <c r="AJ168">
        <f>SUM(U168:AI168)</f>
        <v>1291094</v>
      </c>
    </row>
    <row r="169" spans="1:37">
      <c r="A169" t="s">
        <v>1081</v>
      </c>
      <c r="C169">
        <f t="shared" ref="C169:H169" si="6">SUMPRODUCT($B51:$B167,C51:C167)</f>
        <v>8061930</v>
      </c>
      <c r="D169">
        <f t="shared" si="6"/>
        <v>15509720</v>
      </c>
      <c r="E169">
        <f t="shared" si="6"/>
        <v>29959458</v>
      </c>
      <c r="F169">
        <f t="shared" si="6"/>
        <v>20180370</v>
      </c>
      <c r="G169">
        <f t="shared" si="6"/>
        <v>54343751</v>
      </c>
      <c r="H169">
        <f t="shared" si="6"/>
        <v>10109345</v>
      </c>
      <c r="I169">
        <f>SUM(C169:H169)</f>
        <v>138164574</v>
      </c>
      <c r="J169">
        <f t="shared" ref="J169:S169" si="7">SUMPRODUCT($B51:$B167,J51:J167)</f>
        <v>74811925</v>
      </c>
      <c r="K169">
        <f t="shared" si="7"/>
        <v>40676750</v>
      </c>
      <c r="L169">
        <f t="shared" si="7"/>
        <v>33106490</v>
      </c>
      <c r="M169">
        <f t="shared" si="7"/>
        <v>73428560</v>
      </c>
      <c r="N169">
        <f t="shared" si="7"/>
        <v>41944794</v>
      </c>
      <c r="O169">
        <f t="shared" si="7"/>
        <v>109474291</v>
      </c>
      <c r="P169">
        <f t="shared" si="7"/>
        <v>37638754</v>
      </c>
      <c r="Q169">
        <f t="shared" si="7"/>
        <v>73620430</v>
      </c>
      <c r="R169">
        <f t="shared" si="7"/>
        <v>50700605</v>
      </c>
      <c r="S169">
        <f t="shared" si="7"/>
        <v>43030220</v>
      </c>
      <c r="T169">
        <f>SUM(J169:S169)</f>
        <v>578432819</v>
      </c>
      <c r="U169">
        <f t="shared" ref="U169:AI169" si="8">SUMPRODUCT($B51:$B167,U51:U167)</f>
        <v>57978760</v>
      </c>
      <c r="V169">
        <f t="shared" si="8"/>
        <v>39990950</v>
      </c>
      <c r="W169">
        <f t="shared" si="8"/>
        <v>59102240</v>
      </c>
      <c r="X169">
        <f t="shared" si="8"/>
        <v>41487016</v>
      </c>
      <c r="Y169">
        <f t="shared" si="8"/>
        <v>40978030</v>
      </c>
      <c r="Z169">
        <f t="shared" si="8"/>
        <v>6141540</v>
      </c>
      <c r="AA169">
        <f t="shared" si="8"/>
        <v>73927700</v>
      </c>
      <c r="AB169">
        <f t="shared" si="8"/>
        <v>79034930</v>
      </c>
      <c r="AC169">
        <f t="shared" si="8"/>
        <v>44078200</v>
      </c>
      <c r="AD169">
        <f t="shared" si="8"/>
        <v>37189150</v>
      </c>
      <c r="AE169">
        <f t="shared" si="8"/>
        <v>19935720</v>
      </c>
      <c r="AF169">
        <f t="shared" si="8"/>
        <v>34859685</v>
      </c>
      <c r="AG169">
        <f t="shared" si="8"/>
        <v>8898670</v>
      </c>
      <c r="AH169">
        <f t="shared" si="8"/>
        <v>7405265</v>
      </c>
      <c r="AI169">
        <f t="shared" si="8"/>
        <v>31147950</v>
      </c>
      <c r="AJ169">
        <f>SUM(U169:AI169)</f>
        <v>582155806</v>
      </c>
    </row>
    <row r="170" spans="1:37">
      <c r="A170" t="s">
        <v>1082</v>
      </c>
      <c r="C170">
        <f t="shared" ref="C170:AJ170" si="9">C169/C168</f>
        <v>209.04784130688449</v>
      </c>
      <c r="D170">
        <f t="shared" si="9"/>
        <v>272.06216671344373</v>
      </c>
      <c r="E170">
        <f t="shared" si="9"/>
        <v>653.70844425049097</v>
      </c>
      <c r="F170">
        <f t="shared" si="9"/>
        <v>564.9441504997061</v>
      </c>
      <c r="G170">
        <f t="shared" si="9"/>
        <v>317.88336696791555</v>
      </c>
      <c r="H170">
        <f t="shared" si="9"/>
        <v>377.01741627508017</v>
      </c>
      <c r="I170" s="1">
        <f t="shared" si="9"/>
        <v>368.54402189424718</v>
      </c>
      <c r="J170">
        <f t="shared" si="9"/>
        <v>548.27354342249907</v>
      </c>
      <c r="K170">
        <f t="shared" si="9"/>
        <v>625.40166971602525</v>
      </c>
      <c r="L170">
        <f t="shared" si="9"/>
        <v>670.25326962789006</v>
      </c>
      <c r="M170">
        <f t="shared" si="9"/>
        <v>598.53245408824512</v>
      </c>
      <c r="N170">
        <f t="shared" si="9"/>
        <v>569.66988999049306</v>
      </c>
      <c r="O170">
        <f t="shared" si="9"/>
        <v>416.24256100621278</v>
      </c>
      <c r="P170">
        <f t="shared" si="9"/>
        <v>378.06995128321029</v>
      </c>
      <c r="Q170">
        <f t="shared" si="9"/>
        <v>532.94457032409389</v>
      </c>
      <c r="R170">
        <f t="shared" si="9"/>
        <v>463.45093146126987</v>
      </c>
      <c r="S170" s="130">
        <f t="shared" si="9"/>
        <v>396.10998600780619</v>
      </c>
      <c r="T170" s="1">
        <f t="shared" si="9"/>
        <v>496.11452099018288</v>
      </c>
      <c r="U170">
        <f t="shared" si="9"/>
        <v>333.47574513119599</v>
      </c>
      <c r="V170">
        <f t="shared" si="9"/>
        <v>348.66605055058108</v>
      </c>
      <c r="W170">
        <f t="shared" si="9"/>
        <v>431.29932206110936</v>
      </c>
      <c r="X170">
        <f t="shared" si="9"/>
        <v>599.57533890221691</v>
      </c>
      <c r="Y170">
        <f t="shared" si="9"/>
        <v>504.69283444589502</v>
      </c>
      <c r="Z170">
        <f t="shared" si="9"/>
        <v>313.1840897501275</v>
      </c>
      <c r="AA170">
        <f t="shared" si="9"/>
        <v>503.83836869330537</v>
      </c>
      <c r="AB170">
        <f t="shared" si="9"/>
        <v>635.97317218404498</v>
      </c>
      <c r="AC170">
        <f t="shared" si="9"/>
        <v>582.16710251736799</v>
      </c>
      <c r="AD170">
        <f t="shared" si="9"/>
        <v>360.14012763526142</v>
      </c>
      <c r="AE170">
        <f t="shared" si="9"/>
        <v>329.26568229115054</v>
      </c>
      <c r="AF170">
        <f t="shared" si="9"/>
        <v>456.29054425508519</v>
      </c>
      <c r="AG170">
        <f t="shared" si="9"/>
        <v>348.51642971840363</v>
      </c>
      <c r="AH170">
        <f t="shared" si="9"/>
        <v>460.72699558265413</v>
      </c>
      <c r="AI170">
        <f t="shared" si="9"/>
        <v>465.07525308328604</v>
      </c>
      <c r="AJ170" s="1">
        <f t="shared" si="9"/>
        <v>450.9011783805052</v>
      </c>
    </row>
    <row r="171" spans="1:37">
      <c r="C171" t="s">
        <v>1055</v>
      </c>
      <c r="D171" t="s">
        <v>1056</v>
      </c>
      <c r="E171" t="s">
        <v>1057</v>
      </c>
      <c r="F171" t="s">
        <v>1058</v>
      </c>
      <c r="G171" t="s">
        <v>1059</v>
      </c>
      <c r="H171" t="s">
        <v>697</v>
      </c>
      <c r="I171" s="1" t="s">
        <v>1060</v>
      </c>
      <c r="J171" t="s">
        <v>1061</v>
      </c>
      <c r="K171" t="s">
        <v>1062</v>
      </c>
      <c r="L171" t="s">
        <v>1063</v>
      </c>
      <c r="M171" t="s">
        <v>1064</v>
      </c>
      <c r="N171" t="s">
        <v>121</v>
      </c>
      <c r="O171" t="s">
        <v>1065</v>
      </c>
      <c r="P171" t="s">
        <v>1066</v>
      </c>
      <c r="Q171" t="s">
        <v>118</v>
      </c>
      <c r="R171" t="s">
        <v>1067</v>
      </c>
      <c r="S171" t="s">
        <v>698</v>
      </c>
      <c r="T171" s="1" t="s">
        <v>1068</v>
      </c>
      <c r="U171" t="s">
        <v>1069</v>
      </c>
      <c r="V171" t="s">
        <v>1070</v>
      </c>
      <c r="W171" t="s">
        <v>128</v>
      </c>
      <c r="X171" t="s">
        <v>1071</v>
      </c>
      <c r="Y171" t="s">
        <v>1072</v>
      </c>
      <c r="Z171" t="s">
        <v>123</v>
      </c>
      <c r="AA171" t="s">
        <v>1073</v>
      </c>
      <c r="AB171" t="s">
        <v>1074</v>
      </c>
      <c r="AC171" t="s">
        <v>1075</v>
      </c>
      <c r="AD171" t="s">
        <v>1076</v>
      </c>
      <c r="AE171" t="s">
        <v>1077</v>
      </c>
      <c r="AF171" t="s">
        <v>1078</v>
      </c>
      <c r="AG171" t="s">
        <v>1079</v>
      </c>
      <c r="AH171" t="s">
        <v>701</v>
      </c>
      <c r="AI171" t="s">
        <v>702</v>
      </c>
      <c r="AJ171" s="1" t="s">
        <v>1080</v>
      </c>
    </row>
    <row r="175" spans="1:37">
      <c r="A175" t="s">
        <v>1094</v>
      </c>
    </row>
    <row r="176" spans="1:37">
      <c r="A176" t="s">
        <v>1053</v>
      </c>
    </row>
    <row r="177" spans="1:5">
      <c r="A177" t="s">
        <v>104</v>
      </c>
      <c r="B177" t="s">
        <v>104</v>
      </c>
      <c r="C177" t="s">
        <v>588</v>
      </c>
      <c r="E177" t="s">
        <v>33</v>
      </c>
    </row>
    <row r="178" spans="1:5">
      <c r="A178" t="s">
        <v>1093</v>
      </c>
      <c r="B178" t="s">
        <v>1054</v>
      </c>
      <c r="C178" t="s">
        <v>536</v>
      </c>
      <c r="D178" t="s">
        <v>537</v>
      </c>
    </row>
    <row r="179" spans="1:5">
      <c r="B179" t="s">
        <v>1055</v>
      </c>
      <c r="C179">
        <v>166</v>
      </c>
      <c r="D179">
        <v>688</v>
      </c>
      <c r="E179">
        <v>854</v>
      </c>
    </row>
    <row r="180" spans="1:5">
      <c r="B180" t="s">
        <v>1056</v>
      </c>
      <c r="C180">
        <v>639</v>
      </c>
      <c r="D180">
        <v>1604</v>
      </c>
      <c r="E180">
        <v>2243</v>
      </c>
    </row>
    <row r="181" spans="1:5">
      <c r="B181" t="s">
        <v>1057</v>
      </c>
      <c r="C181">
        <v>275</v>
      </c>
      <c r="D181">
        <v>320</v>
      </c>
      <c r="E181">
        <v>595</v>
      </c>
    </row>
    <row r="182" spans="1:5">
      <c r="B182" t="s">
        <v>1058</v>
      </c>
      <c r="C182">
        <v>269</v>
      </c>
      <c r="D182">
        <v>1719</v>
      </c>
      <c r="E182">
        <v>1988</v>
      </c>
    </row>
    <row r="183" spans="1:5">
      <c r="B183" t="s">
        <v>1059</v>
      </c>
      <c r="C183">
        <v>157</v>
      </c>
      <c r="D183">
        <v>314</v>
      </c>
      <c r="E183">
        <v>471</v>
      </c>
    </row>
    <row r="184" spans="1:5">
      <c r="B184" t="s">
        <v>697</v>
      </c>
      <c r="C184">
        <v>3951</v>
      </c>
      <c r="D184">
        <v>8105</v>
      </c>
      <c r="E184">
        <v>12056</v>
      </c>
    </row>
    <row r="185" spans="1:5">
      <c r="A185" s="1" t="s">
        <v>1060</v>
      </c>
      <c r="B185" s="1"/>
      <c r="C185" s="1">
        <f>SUM(C179:C184)</f>
        <v>5457</v>
      </c>
      <c r="D185" s="1">
        <f>SUM(D179:D184)</f>
        <v>12750</v>
      </c>
      <c r="E185" s="1">
        <f>SUM(E179:E184)</f>
        <v>18207</v>
      </c>
    </row>
    <row r="186" spans="1:5">
      <c r="B186" t="s">
        <v>1061</v>
      </c>
      <c r="C186">
        <v>3613</v>
      </c>
      <c r="D186">
        <v>1316</v>
      </c>
      <c r="E186">
        <v>4929</v>
      </c>
    </row>
    <row r="187" spans="1:5">
      <c r="B187" t="s">
        <v>1062</v>
      </c>
      <c r="C187">
        <v>2450</v>
      </c>
      <c r="D187">
        <v>2930</v>
      </c>
      <c r="E187">
        <v>5380</v>
      </c>
    </row>
    <row r="188" spans="1:5">
      <c r="B188" t="s">
        <v>1063</v>
      </c>
      <c r="C188">
        <v>630</v>
      </c>
      <c r="D188">
        <v>132</v>
      </c>
      <c r="E188">
        <v>762</v>
      </c>
    </row>
    <row r="189" spans="1:5">
      <c r="B189" t="s">
        <v>1064</v>
      </c>
      <c r="C189">
        <v>1772</v>
      </c>
      <c r="D189">
        <v>4748</v>
      </c>
      <c r="E189">
        <v>6520</v>
      </c>
    </row>
    <row r="190" spans="1:5">
      <c r="B190" t="s">
        <v>121</v>
      </c>
      <c r="C190">
        <v>1007</v>
      </c>
      <c r="D190">
        <v>2450</v>
      </c>
      <c r="E190">
        <v>3457</v>
      </c>
    </row>
    <row r="191" spans="1:5">
      <c r="B191" t="s">
        <v>1065</v>
      </c>
      <c r="C191">
        <v>2456</v>
      </c>
      <c r="D191">
        <v>8588</v>
      </c>
      <c r="E191">
        <v>11044</v>
      </c>
    </row>
    <row r="192" spans="1:5">
      <c r="B192" t="s">
        <v>1066</v>
      </c>
      <c r="C192">
        <v>2239</v>
      </c>
      <c r="D192">
        <v>3027</v>
      </c>
      <c r="E192">
        <v>5266</v>
      </c>
    </row>
    <row r="193" spans="1:5">
      <c r="B193" t="s">
        <v>118</v>
      </c>
      <c r="C193">
        <v>3497</v>
      </c>
      <c r="D193">
        <v>998</v>
      </c>
      <c r="E193">
        <v>4495</v>
      </c>
    </row>
    <row r="194" spans="1:5">
      <c r="B194" t="s">
        <v>1067</v>
      </c>
      <c r="C194">
        <v>2620</v>
      </c>
      <c r="D194">
        <v>1583</v>
      </c>
      <c r="E194">
        <v>4203</v>
      </c>
    </row>
    <row r="195" spans="1:5">
      <c r="B195" t="s">
        <v>698</v>
      </c>
      <c r="C195">
        <v>27475</v>
      </c>
      <c r="D195">
        <v>55385</v>
      </c>
      <c r="E195">
        <v>82860</v>
      </c>
    </row>
    <row r="196" spans="1:5">
      <c r="A196" s="1" t="s">
        <v>1068</v>
      </c>
      <c r="B196" s="1"/>
      <c r="C196" s="1">
        <f>SUM(C186:C195)</f>
        <v>47759</v>
      </c>
      <c r="D196" s="1">
        <f>SUM(D186:D195)</f>
        <v>81157</v>
      </c>
      <c r="E196" s="1">
        <f>SUM(E186:E195)</f>
        <v>128916</v>
      </c>
    </row>
    <row r="197" spans="1:5">
      <c r="B197" t="s">
        <v>1069</v>
      </c>
      <c r="C197">
        <v>3141</v>
      </c>
      <c r="D197">
        <v>7403</v>
      </c>
      <c r="E197">
        <v>10544</v>
      </c>
    </row>
    <row r="198" spans="1:5">
      <c r="B198" t="s">
        <v>1070</v>
      </c>
      <c r="C198">
        <v>3063</v>
      </c>
      <c r="D198">
        <v>2045</v>
      </c>
      <c r="E198">
        <v>5108</v>
      </c>
    </row>
    <row r="199" spans="1:5">
      <c r="B199" t="s">
        <v>128</v>
      </c>
      <c r="C199">
        <v>4842</v>
      </c>
      <c r="D199">
        <v>2238</v>
      </c>
      <c r="E199">
        <v>7080</v>
      </c>
    </row>
    <row r="200" spans="1:5">
      <c r="B200" t="s">
        <v>1071</v>
      </c>
      <c r="C200">
        <v>13841</v>
      </c>
      <c r="D200">
        <v>2204</v>
      </c>
      <c r="E200">
        <v>16045</v>
      </c>
    </row>
    <row r="201" spans="1:5">
      <c r="B201" t="s">
        <v>1072</v>
      </c>
      <c r="C201">
        <v>9697</v>
      </c>
      <c r="D201">
        <v>5950</v>
      </c>
      <c r="E201">
        <v>15647</v>
      </c>
    </row>
    <row r="202" spans="1:5">
      <c r="B202" t="s">
        <v>123</v>
      </c>
      <c r="C202">
        <v>1479</v>
      </c>
      <c r="D202">
        <v>1843</v>
      </c>
      <c r="E202">
        <v>3322</v>
      </c>
    </row>
    <row r="203" spans="1:5">
      <c r="B203" t="s">
        <v>1073</v>
      </c>
      <c r="C203">
        <v>4251</v>
      </c>
      <c r="D203">
        <v>2606</v>
      </c>
      <c r="E203">
        <v>6857</v>
      </c>
    </row>
    <row r="204" spans="1:5">
      <c r="B204" t="s">
        <v>1074</v>
      </c>
      <c r="C204">
        <v>2198</v>
      </c>
      <c r="D204">
        <v>1552</v>
      </c>
      <c r="E204">
        <v>3750</v>
      </c>
    </row>
    <row r="205" spans="1:5">
      <c r="B205" t="s">
        <v>1075</v>
      </c>
      <c r="C205">
        <v>1312</v>
      </c>
      <c r="D205">
        <v>440</v>
      </c>
      <c r="E205">
        <v>1752</v>
      </c>
    </row>
    <row r="206" spans="1:5">
      <c r="B206" t="s">
        <v>1076</v>
      </c>
      <c r="C206">
        <v>3178</v>
      </c>
      <c r="D206">
        <v>3046</v>
      </c>
      <c r="E206">
        <v>6224</v>
      </c>
    </row>
    <row r="207" spans="1:5">
      <c r="B207" t="s">
        <v>1077</v>
      </c>
      <c r="C207">
        <v>1306</v>
      </c>
      <c r="D207">
        <v>151</v>
      </c>
      <c r="E207">
        <v>1457</v>
      </c>
    </row>
    <row r="208" spans="1:5">
      <c r="B208" t="s">
        <v>1078</v>
      </c>
      <c r="C208">
        <v>3327</v>
      </c>
      <c r="D208">
        <v>1362</v>
      </c>
      <c r="E208">
        <v>4689</v>
      </c>
    </row>
    <row r="209" spans="1:5">
      <c r="B209" t="s">
        <v>1079</v>
      </c>
      <c r="C209">
        <v>319</v>
      </c>
      <c r="D209">
        <v>128</v>
      </c>
      <c r="E209">
        <v>447</v>
      </c>
    </row>
    <row r="210" spans="1:5">
      <c r="B210" t="s">
        <v>701</v>
      </c>
      <c r="C210">
        <v>5665</v>
      </c>
      <c r="D210">
        <v>7258</v>
      </c>
      <c r="E210">
        <v>12923</v>
      </c>
    </row>
    <row r="211" spans="1:5">
      <c r="B211" t="s">
        <v>702</v>
      </c>
      <c r="C211">
        <v>33299</v>
      </c>
      <c r="D211">
        <v>105896</v>
      </c>
      <c r="E211">
        <v>139195</v>
      </c>
    </row>
    <row r="212" spans="1:5">
      <c r="A212" s="1" t="s">
        <v>1080</v>
      </c>
      <c r="B212" s="1"/>
      <c r="C212" s="1">
        <f>SUM(C197:C211)</f>
        <v>90918</v>
      </c>
      <c r="D212" s="1">
        <f>SUM(D197:D211)</f>
        <v>144122</v>
      </c>
      <c r="E212" s="1">
        <f>SUM(E197:E211)</f>
        <v>235040</v>
      </c>
    </row>
    <row r="213" spans="1:5">
      <c r="A213" s="1" t="s">
        <v>33</v>
      </c>
      <c r="B213" s="1"/>
      <c r="C213" s="1">
        <v>144134</v>
      </c>
      <c r="D213" s="1">
        <v>238029</v>
      </c>
      <c r="E213" s="1">
        <v>382163</v>
      </c>
    </row>
    <row r="216" spans="1:5" ht="21">
      <c r="A216" s="521" t="s">
        <v>1139</v>
      </c>
      <c r="B216" s="514"/>
      <c r="C216" s="514"/>
    </row>
    <row r="217" spans="1:5">
      <c r="A217" s="514"/>
      <c r="B217" s="514"/>
      <c r="C217" s="514"/>
    </row>
    <row r="218" spans="1:5">
      <c r="A218" s="518" t="s">
        <v>1136</v>
      </c>
      <c r="B218" s="518"/>
      <c r="C218" s="518"/>
    </row>
    <row r="219" spans="1:5">
      <c r="A219" s="518" t="s">
        <v>1140</v>
      </c>
      <c r="B219" s="518"/>
      <c r="C219" s="518"/>
    </row>
    <row r="220" spans="1:5">
      <c r="A220" s="518" t="s">
        <v>593</v>
      </c>
      <c r="B220" s="518" t="s">
        <v>577</v>
      </c>
      <c r="C220" s="518">
        <v>2831916.0819654465</v>
      </c>
    </row>
    <row r="221" spans="1:5">
      <c r="A221" s="518"/>
      <c r="B221" s="518" t="s">
        <v>590</v>
      </c>
      <c r="C221" s="518">
        <v>240608.87001895905</v>
      </c>
    </row>
    <row r="222" spans="1:5" ht="15.75">
      <c r="A222" s="518" t="s">
        <v>596</v>
      </c>
      <c r="B222" s="518"/>
      <c r="C222" s="519">
        <v>430.36864141064575</v>
      </c>
    </row>
    <row r="223" spans="1:5" ht="15.75">
      <c r="A223" s="518" t="s">
        <v>1137</v>
      </c>
      <c r="B223" s="518"/>
      <c r="C223" s="519">
        <v>1218767876.7844281</v>
      </c>
    </row>
  </sheetData>
  <pageMargins left="0.75" right="0.75" top="1" bottom="1" header="0.5" footer="0.5"/>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0400A"/>
  </sheetPr>
  <dimension ref="A1:R88"/>
  <sheetViews>
    <sheetView workbookViewId="0"/>
  </sheetViews>
  <sheetFormatPr defaultColWidth="27.85546875" defaultRowHeight="12.75"/>
  <cols>
    <col min="1" max="1" width="41.85546875" style="172" customWidth="1"/>
    <col min="2" max="2" width="13" style="172" customWidth="1"/>
    <col min="3" max="3" width="14.85546875" style="172" customWidth="1"/>
    <col min="4" max="4" width="15.42578125" style="172" customWidth="1"/>
    <col min="5" max="5" width="14.85546875" style="172" customWidth="1"/>
    <col min="6" max="6" width="14" style="172" customWidth="1"/>
    <col min="7" max="7" width="32.28515625" style="172" customWidth="1"/>
    <col min="8" max="8" width="15.85546875" style="172" customWidth="1"/>
    <col min="9" max="9" width="16" style="172" customWidth="1"/>
    <col min="10" max="10" width="14.7109375" style="172" customWidth="1"/>
    <col min="11" max="11" width="27.85546875" style="172"/>
    <col min="12" max="12" width="14" style="172" customWidth="1"/>
    <col min="13" max="13" width="10.28515625" style="172" customWidth="1"/>
    <col min="14" max="14" width="9.7109375" style="172" customWidth="1"/>
    <col min="15" max="15" width="10.140625" style="172" customWidth="1"/>
    <col min="16" max="17" width="6" style="172" customWidth="1"/>
    <col min="18" max="19" width="27.85546875" style="172"/>
    <col min="20" max="20" width="9.7109375" style="172" customWidth="1"/>
    <col min="21" max="23" width="8.7109375" style="172" customWidth="1"/>
    <col min="24" max="16384" width="27.85546875" style="172"/>
  </cols>
  <sheetData>
    <row r="1" spans="1:18" ht="24.75">
      <c r="A1" s="1262" t="s">
        <v>705</v>
      </c>
      <c r="B1" s="1285"/>
    </row>
    <row r="3" spans="1:18">
      <c r="A3" s="146"/>
      <c r="B3" s="146"/>
      <c r="C3" s="146"/>
      <c r="D3" s="146"/>
      <c r="E3" s="146"/>
      <c r="F3" s="146"/>
      <c r="G3" s="146"/>
      <c r="H3" s="146"/>
      <c r="I3" s="146"/>
      <c r="J3" s="173"/>
      <c r="K3" s="174"/>
      <c r="L3" s="174"/>
      <c r="M3" s="174"/>
      <c r="N3" s="174"/>
      <c r="O3" s="174"/>
      <c r="P3" s="174"/>
      <c r="Q3" s="174"/>
    </row>
    <row r="4" spans="1:18">
      <c r="A4" s="175" t="s">
        <v>1816</v>
      </c>
      <c r="B4" s="147"/>
      <c r="C4" s="146"/>
      <c r="D4" s="146"/>
      <c r="E4" s="146"/>
      <c r="F4" s="146"/>
      <c r="G4" s="146"/>
      <c r="H4" s="146"/>
      <c r="I4" s="146"/>
      <c r="J4" s="173"/>
      <c r="K4" s="174"/>
      <c r="L4" s="174"/>
      <c r="M4" s="174"/>
      <c r="N4" s="174"/>
      <c r="O4" s="174"/>
      <c r="P4" s="174"/>
      <c r="Q4" s="174"/>
    </row>
    <row r="5" spans="1:18">
      <c r="A5" s="148" t="s">
        <v>600</v>
      </c>
      <c r="B5" s="146"/>
      <c r="C5" s="146"/>
      <c r="D5" s="146"/>
      <c r="E5" s="146"/>
      <c r="F5" s="146"/>
      <c r="G5" s="146"/>
      <c r="H5" s="146"/>
      <c r="I5" s="146"/>
      <c r="J5" s="173"/>
      <c r="K5" s="153"/>
      <c r="L5" s="174"/>
      <c r="M5" s="174"/>
      <c r="N5" s="174"/>
      <c r="O5" s="174"/>
      <c r="P5" s="174"/>
      <c r="Q5" s="174"/>
    </row>
    <row r="6" spans="1:18" ht="13.5" thickBot="1">
      <c r="A6" s="176"/>
      <c r="B6" s="146"/>
      <c r="C6" s="146"/>
      <c r="D6" s="146"/>
      <c r="E6" s="146"/>
      <c r="F6" s="146"/>
      <c r="G6" s="146"/>
      <c r="H6" s="146"/>
      <c r="I6" s="146"/>
      <c r="J6" s="173"/>
      <c r="K6" s="153"/>
      <c r="L6" s="174"/>
      <c r="M6" s="153"/>
      <c r="N6" s="153"/>
      <c r="O6" s="153"/>
      <c r="P6" s="153"/>
      <c r="Q6" s="153"/>
    </row>
    <row r="7" spans="1:18" ht="13.5" thickBot="1">
      <c r="A7" s="149" t="s">
        <v>1207</v>
      </c>
      <c r="B7" s="177"/>
      <c r="C7" s="177"/>
      <c r="D7" s="177"/>
      <c r="E7" s="178"/>
      <c r="F7" s="146"/>
      <c r="G7" s="333" t="s">
        <v>760</v>
      </c>
      <c r="H7" s="334"/>
      <c r="I7" s="156"/>
      <c r="J7" s="171"/>
      <c r="K7" s="226" t="s">
        <v>711</v>
      </c>
      <c r="L7" s="227"/>
      <c r="M7" s="227"/>
      <c r="N7" s="227"/>
      <c r="O7" s="228"/>
      <c r="P7" s="582"/>
      <c r="Q7" s="179"/>
    </row>
    <row r="8" spans="1:18" ht="38.25">
      <c r="A8" s="180"/>
      <c r="B8" s="181"/>
      <c r="C8" s="181"/>
      <c r="D8" s="181"/>
      <c r="E8" s="182"/>
      <c r="F8" s="146"/>
      <c r="G8" s="159" t="s">
        <v>606</v>
      </c>
      <c r="H8" s="161">
        <v>104</v>
      </c>
      <c r="I8" s="221"/>
      <c r="J8" s="179"/>
      <c r="K8" s="180"/>
      <c r="L8" s="229" t="s">
        <v>712</v>
      </c>
      <c r="M8" s="229" t="s">
        <v>709</v>
      </c>
      <c r="N8" s="229" t="s">
        <v>710</v>
      </c>
      <c r="O8" s="230" t="s">
        <v>571</v>
      </c>
      <c r="P8" s="184"/>
      <c r="Q8" s="179"/>
      <c r="R8" s="580"/>
    </row>
    <row r="9" spans="1:18" ht="13.5" customHeight="1" thickBot="1">
      <c r="A9" s="151" t="s">
        <v>601</v>
      </c>
      <c r="B9" s="185" t="s">
        <v>602</v>
      </c>
      <c r="C9" s="185" t="s">
        <v>603</v>
      </c>
      <c r="D9" s="185" t="s">
        <v>604</v>
      </c>
      <c r="E9" s="186" t="s">
        <v>605</v>
      </c>
      <c r="F9" s="146"/>
      <c r="G9" s="162" t="s">
        <v>609</v>
      </c>
      <c r="H9" s="189">
        <v>10</v>
      </c>
      <c r="I9" s="190" t="s">
        <v>610</v>
      </c>
      <c r="J9" s="161"/>
      <c r="K9" s="183" t="s">
        <v>654</v>
      </c>
      <c r="L9" s="231">
        <v>678.56</v>
      </c>
      <c r="M9" s="232">
        <f>+hhsize_n</f>
        <v>4.8426509646407334</v>
      </c>
      <c r="N9" s="225">
        <f>+M9*L9</f>
        <v>3286.0292385666157</v>
      </c>
      <c r="O9" s="233">
        <f>+'population parameters'!C6</f>
        <v>336602</v>
      </c>
      <c r="P9" s="184"/>
      <c r="Q9" s="179"/>
      <c r="R9" s="527"/>
    </row>
    <row r="10" spans="1:18" ht="13.5" customHeight="1" thickBot="1">
      <c r="A10" s="159" t="s">
        <v>608</v>
      </c>
      <c r="B10" s="187">
        <v>51</v>
      </c>
      <c r="C10" s="187">
        <v>49</v>
      </c>
      <c r="D10" s="187">
        <v>50</v>
      </c>
      <c r="E10" s="188">
        <v>51</v>
      </c>
      <c r="F10" s="146"/>
      <c r="G10" s="162" t="s">
        <v>715</v>
      </c>
      <c r="H10" s="243">
        <f>+H8*weight_headload</f>
        <v>1901.4666666666669</v>
      </c>
      <c r="I10" s="190" t="s">
        <v>610</v>
      </c>
      <c r="J10" s="161"/>
      <c r="K10" s="183" t="s">
        <v>707</v>
      </c>
      <c r="L10" s="231">
        <v>646.28</v>
      </c>
      <c r="M10" s="223">
        <f>+hhsize_c</f>
        <v>4.4792813589690468</v>
      </c>
      <c r="N10" s="225">
        <f>+M10*L10</f>
        <v>2894.8699566745154</v>
      </c>
      <c r="O10" s="233">
        <f>+'population parameters'!D6</f>
        <v>1192139</v>
      </c>
      <c r="P10" s="184"/>
      <c r="Q10" s="179"/>
      <c r="R10" s="527"/>
    </row>
    <row r="11" spans="1:18" ht="14.1" customHeight="1" thickBot="1">
      <c r="A11" s="159" t="s">
        <v>612</v>
      </c>
      <c r="B11" s="187">
        <v>6</v>
      </c>
      <c r="C11" s="187">
        <v>10</v>
      </c>
      <c r="D11" s="187">
        <v>6</v>
      </c>
      <c r="E11" s="188">
        <v>6</v>
      </c>
      <c r="F11" s="146"/>
      <c r="G11"/>
      <c r="H11"/>
      <c r="I11"/>
      <c r="J11"/>
      <c r="K11" s="183" t="s">
        <v>656</v>
      </c>
      <c r="L11" s="231">
        <v>538.62</v>
      </c>
      <c r="M11" s="224">
        <f>+hhsize_s</f>
        <v>4.2091855603075476</v>
      </c>
      <c r="N11" s="225">
        <f>+M11*L11</f>
        <v>2267.1515264928512</v>
      </c>
      <c r="O11" s="234">
        <f>+'population parameters'!E6</f>
        <v>1341192</v>
      </c>
      <c r="P11" s="583"/>
      <c r="Q11" s="179"/>
      <c r="R11" s="527"/>
    </row>
    <row r="12" spans="1:18" ht="15.75" thickBot="1">
      <c r="A12" s="159" t="s">
        <v>614</v>
      </c>
      <c r="B12" s="161">
        <v>2</v>
      </c>
      <c r="C12" s="161">
        <v>2</v>
      </c>
      <c r="D12" s="161">
        <v>2</v>
      </c>
      <c r="E12" s="160">
        <v>3</v>
      </c>
      <c r="F12" s="146"/>
      <c r="G12" s="149" t="s">
        <v>1208</v>
      </c>
      <c r="H12" s="155"/>
      <c r="I12" s="156"/>
      <c r="J12"/>
      <c r="K12" s="235" t="s">
        <v>708</v>
      </c>
      <c r="L12" s="236">
        <f>+N12/M12</f>
        <v>602.27327798043291</v>
      </c>
      <c r="M12" s="237">
        <f>+hhsize</f>
        <v>4.3956768328737992</v>
      </c>
      <c r="N12" s="239">
        <f>+SUMPRODUCT(N9:N11,O9:O11)/+SUM(O9:O11)</f>
        <v>2647.3986950775507</v>
      </c>
      <c r="O12" s="238">
        <f>+SUM(O9:O11)</f>
        <v>2869933</v>
      </c>
      <c r="P12" s="583"/>
      <c r="Q12" s="179"/>
      <c r="R12" s="527"/>
    </row>
    <row r="13" spans="1:18" ht="40.5" customHeight="1">
      <c r="A13" s="159" t="s">
        <v>615</v>
      </c>
      <c r="B13" s="161">
        <v>42.6</v>
      </c>
      <c r="C13" s="161">
        <v>44.2</v>
      </c>
      <c r="D13" s="161">
        <v>33</v>
      </c>
      <c r="E13" s="160">
        <v>39.700000000000003</v>
      </c>
      <c r="F13" s="146"/>
      <c r="G13" s="183"/>
      <c r="H13" s="161" t="s">
        <v>713</v>
      </c>
      <c r="I13" s="160" t="s">
        <v>714</v>
      </c>
      <c r="J13"/>
      <c r="K13" s="1713" t="s">
        <v>1197</v>
      </c>
      <c r="L13" s="1714"/>
      <c r="M13" s="1714"/>
      <c r="N13" s="1714"/>
      <c r="O13" s="1715"/>
      <c r="P13" s="583"/>
      <c r="Q13" s="179"/>
    </row>
    <row r="14" spans="1:18">
      <c r="A14" s="154" t="s">
        <v>616</v>
      </c>
      <c r="B14" s="191"/>
      <c r="C14" s="192"/>
      <c r="D14" s="192"/>
      <c r="E14" s="193"/>
      <c r="F14" s="146"/>
      <c r="G14" s="159" t="s">
        <v>622</v>
      </c>
      <c r="H14" s="161">
        <v>804.5</v>
      </c>
      <c r="I14" s="241">
        <f>+H14*hhsize</f>
        <v>3536.3220120469714</v>
      </c>
      <c r="J14" s="173"/>
      <c r="K14" s="1675"/>
      <c r="L14" s="1716"/>
      <c r="M14" s="1716"/>
      <c r="N14" s="1716"/>
      <c r="O14" s="1676"/>
      <c r="P14" s="184"/>
      <c r="Q14" s="153"/>
    </row>
    <row r="15" spans="1:18">
      <c r="A15" s="159" t="s">
        <v>617</v>
      </c>
      <c r="B15" s="161">
        <f>+B13*52</f>
        <v>2215.2000000000003</v>
      </c>
      <c r="C15" s="161">
        <f>+C13*52</f>
        <v>2298.4</v>
      </c>
      <c r="D15" s="161">
        <f>+D13*52</f>
        <v>1716</v>
      </c>
      <c r="E15" s="160">
        <f>+E13*52</f>
        <v>2064.4</v>
      </c>
      <c r="F15" s="146"/>
      <c r="G15" s="159" t="s">
        <v>623</v>
      </c>
      <c r="H15" s="161">
        <v>2.0699999999999998</v>
      </c>
      <c r="I15" s="196" t="e">
        <f>+H15*Buffer_hhold_size</f>
        <v>#NAME?</v>
      </c>
      <c r="K15" s="1675"/>
      <c r="L15" s="1716"/>
      <c r="M15" s="1716"/>
      <c r="N15" s="1716"/>
      <c r="O15" s="1676"/>
      <c r="P15" s="184"/>
      <c r="Q15" s="174"/>
    </row>
    <row r="16" spans="1:18" ht="13.5" thickBot="1">
      <c r="A16" s="159" t="s">
        <v>618</v>
      </c>
      <c r="B16" s="194">
        <f>+(B15+C15+D15+E15)/4</f>
        <v>2073.5</v>
      </c>
      <c r="C16" s="161"/>
      <c r="D16" s="161"/>
      <c r="E16" s="160"/>
      <c r="F16" s="146"/>
      <c r="G16" s="162" t="s">
        <v>624</v>
      </c>
      <c r="H16" s="189"/>
      <c r="I16" s="190"/>
      <c r="J16" s="171"/>
      <c r="K16" s="1675"/>
      <c r="L16" s="1716"/>
      <c r="M16" s="1716"/>
      <c r="N16" s="1716"/>
      <c r="O16" s="1676"/>
      <c r="P16" s="184"/>
      <c r="Q16" s="174"/>
    </row>
    <row r="17" spans="1:17" ht="13.5" thickBot="1">
      <c r="A17" s="159" t="s">
        <v>619</v>
      </c>
      <c r="B17" s="161">
        <f>+B13/B12</f>
        <v>21.3</v>
      </c>
      <c r="C17" s="161">
        <f>+C13/C12</f>
        <v>22.1</v>
      </c>
      <c r="D17" s="161">
        <f>+D13/D12</f>
        <v>16.5</v>
      </c>
      <c r="E17" s="195">
        <f>+E13/E12</f>
        <v>13.233333333333334</v>
      </c>
      <c r="F17" s="146"/>
      <c r="G17" s="200" t="s">
        <v>666</v>
      </c>
      <c r="H17" s="201"/>
      <c r="I17" s="178"/>
      <c r="J17" s="179"/>
      <c r="K17" s="1675"/>
      <c r="L17" s="1716"/>
      <c r="M17" s="1716"/>
      <c r="N17" s="1716"/>
      <c r="O17" s="1676"/>
      <c r="P17" s="184"/>
      <c r="Q17" s="174"/>
    </row>
    <row r="18" spans="1:17" ht="13.5" thickBot="1">
      <c r="A18" s="159" t="s">
        <v>620</v>
      </c>
      <c r="B18" s="581">
        <f>SUM(B17:E17)/4</f>
        <v>18.283333333333335</v>
      </c>
      <c r="C18" s="213" t="s">
        <v>621</v>
      </c>
      <c r="D18" s="213"/>
      <c r="E18" s="160"/>
      <c r="F18" s="146"/>
      <c r="J18" s="179"/>
      <c r="K18" s="1677"/>
      <c r="L18" s="1717"/>
      <c r="M18" s="1717"/>
      <c r="N18" s="1717"/>
      <c r="O18" s="1678"/>
      <c r="P18" s="184"/>
      <c r="Q18" s="174"/>
    </row>
    <row r="19" spans="1:17" ht="13.5" thickBot="1">
      <c r="A19" s="159" t="s">
        <v>606</v>
      </c>
      <c r="B19" s="161">
        <f>52*SUM(B12:E12)/4</f>
        <v>117</v>
      </c>
      <c r="C19" s="161"/>
      <c r="D19" s="161"/>
      <c r="E19" s="160"/>
      <c r="F19" s="146"/>
      <c r="G19" s="150" t="s">
        <v>1206</v>
      </c>
      <c r="H19" s="177"/>
      <c r="I19" s="178"/>
      <c r="J19" s="179"/>
      <c r="K19" s="159"/>
      <c r="L19" s="153"/>
      <c r="M19" s="153"/>
      <c r="N19" s="153"/>
      <c r="O19" s="179"/>
      <c r="P19" s="184"/>
      <c r="Q19" s="174"/>
    </row>
    <row r="20" spans="1:17" ht="13.5" thickBot="1">
      <c r="A20" s="197" t="s">
        <v>653</v>
      </c>
      <c r="B20" s="240">
        <f>+B19*weight_headload</f>
        <v>2139.15</v>
      </c>
      <c r="C20" s="198"/>
      <c r="D20" s="198"/>
      <c r="E20" s="199"/>
      <c r="F20" s="146"/>
      <c r="G20" s="183" t="s">
        <v>652</v>
      </c>
      <c r="H20" s="179">
        <v>10.1</v>
      </c>
      <c r="I20" s="221"/>
      <c r="J20" s="161"/>
      <c r="K20" s="159"/>
      <c r="L20" s="153"/>
      <c r="M20" s="153"/>
      <c r="N20" s="153"/>
      <c r="O20" s="179"/>
      <c r="P20" s="184"/>
      <c r="Q20" s="174"/>
    </row>
    <row r="21" spans="1:17">
      <c r="F21" s="146"/>
      <c r="G21" s="183" t="s">
        <v>607</v>
      </c>
      <c r="H21" s="179">
        <f>+H20*52</f>
        <v>525.19999999999993</v>
      </c>
      <c r="I21" s="221"/>
      <c r="K21" s="183"/>
      <c r="L21" s="153"/>
      <c r="M21" s="153"/>
      <c r="N21" s="153"/>
      <c r="O21" s="153"/>
      <c r="P21" s="184"/>
      <c r="Q21" s="174"/>
    </row>
    <row r="22" spans="1:17" ht="13.5" thickBot="1">
      <c r="G22" s="152" t="s">
        <v>611</v>
      </c>
      <c r="H22" s="242">
        <f>+H21*hhsize</f>
        <v>2308.6094726253191</v>
      </c>
      <c r="I22" s="221"/>
      <c r="K22" s="183"/>
      <c r="L22" s="179"/>
      <c r="M22" s="179"/>
      <c r="N22" s="179"/>
      <c r="O22" s="179"/>
      <c r="P22" s="221"/>
    </row>
    <row r="23" spans="1:17" ht="56.1" customHeight="1" thickBot="1">
      <c r="C23" s="202"/>
      <c r="D23" s="202"/>
      <c r="E23" s="202"/>
      <c r="F23" s="202"/>
      <c r="G23" s="1718" t="s">
        <v>613</v>
      </c>
      <c r="H23" s="1719"/>
      <c r="I23" s="1712"/>
      <c r="J23" s="179"/>
      <c r="K23" s="183"/>
      <c r="L23" s="179"/>
      <c r="M23" s="179"/>
      <c r="N23" s="179"/>
      <c r="O23" s="179"/>
      <c r="P23" s="221"/>
    </row>
    <row r="24" spans="1:17" ht="15">
      <c r="A24"/>
      <c r="B24"/>
      <c r="C24" s="170"/>
      <c r="D24" s="202"/>
      <c r="E24" s="202"/>
      <c r="F24" s="203"/>
      <c r="G24" s="203"/>
      <c r="H24" s="203"/>
      <c r="I24" s="203"/>
      <c r="K24" s="183"/>
      <c r="L24" s="161"/>
      <c r="M24" s="179"/>
      <c r="N24" s="179"/>
      <c r="O24" s="179"/>
      <c r="P24" s="221"/>
    </row>
    <row r="25" spans="1:17" ht="15.75" thickBot="1">
      <c r="A25" s="175" t="s">
        <v>1817</v>
      </c>
      <c r="B25" s="157"/>
      <c r="D25" s="179"/>
      <c r="E25"/>
      <c r="F25"/>
      <c r="G25"/>
      <c r="H25"/>
      <c r="I25"/>
      <c r="K25" s="183"/>
      <c r="L25" s="179"/>
      <c r="M25" s="179"/>
      <c r="N25" s="179"/>
      <c r="O25" s="179"/>
      <c r="P25" s="221"/>
    </row>
    <row r="26" spans="1:17" ht="15.75" thickBot="1">
      <c r="A26" s="150" t="s">
        <v>664</v>
      </c>
      <c r="B26" s="205"/>
      <c r="E26"/>
      <c r="F26"/>
      <c r="G26"/>
      <c r="H26"/>
      <c r="I26"/>
      <c r="K26" s="584" t="s">
        <v>1203</v>
      </c>
      <c r="L26" s="198"/>
      <c r="M26" s="198"/>
      <c r="N26" s="198"/>
      <c r="O26" s="198"/>
      <c r="P26" s="199"/>
    </row>
    <row r="27" spans="1:17">
      <c r="A27" s="158"/>
      <c r="B27" s="406" t="s">
        <v>665</v>
      </c>
      <c r="D27" s="164"/>
      <c r="E27" s="179"/>
    </row>
    <row r="28" spans="1:17" ht="15">
      <c r="A28" s="159" t="s">
        <v>1198</v>
      </c>
      <c r="B28" s="184">
        <f>+B20</f>
        <v>2139.15</v>
      </c>
      <c r="E28"/>
      <c r="F28"/>
      <c r="G28"/>
      <c r="H28"/>
      <c r="I28"/>
    </row>
    <row r="29" spans="1:17" ht="15">
      <c r="A29" s="165" t="s">
        <v>1199</v>
      </c>
      <c r="B29" s="184">
        <f>+H10</f>
        <v>1901.4666666666669</v>
      </c>
      <c r="E29"/>
      <c r="F29"/>
      <c r="G29"/>
      <c r="H29"/>
      <c r="I29"/>
    </row>
    <row r="30" spans="1:17" ht="15">
      <c r="A30" s="159" t="s">
        <v>1200</v>
      </c>
      <c r="B30" s="184">
        <f>+I14</f>
        <v>3536.3220120469714</v>
      </c>
      <c r="E30"/>
      <c r="F30"/>
      <c r="G30"/>
      <c r="H30"/>
      <c r="I30"/>
    </row>
    <row r="31" spans="1:17" ht="15">
      <c r="A31" s="165" t="s">
        <v>1201</v>
      </c>
      <c r="B31" s="184">
        <f>+H22</f>
        <v>2308.6094726253191</v>
      </c>
      <c r="E31"/>
      <c r="F31"/>
      <c r="G31"/>
      <c r="H31"/>
      <c r="I31"/>
    </row>
    <row r="32" spans="1:17" ht="15">
      <c r="A32" s="165" t="s">
        <v>1202</v>
      </c>
      <c r="B32" s="184">
        <f>+N12</f>
        <v>2647.3986950775507</v>
      </c>
      <c r="E32"/>
      <c r="F32"/>
      <c r="G32"/>
      <c r="H32"/>
      <c r="I32"/>
    </row>
    <row r="33" spans="1:11" ht="15.75" thickBot="1">
      <c r="A33" s="162" t="s">
        <v>625</v>
      </c>
      <c r="B33" s="407">
        <f>AVERAGE(B28:B32)</f>
        <v>2506.5893692833015</v>
      </c>
      <c r="C33" s="302" t="s">
        <v>752</v>
      </c>
      <c r="E33"/>
      <c r="F33"/>
      <c r="G33"/>
      <c r="H33"/>
      <c r="I33"/>
    </row>
    <row r="34" spans="1:11" ht="15">
      <c r="A34" s="163"/>
      <c r="B34" s="213"/>
      <c r="C34" s="179"/>
      <c r="E34"/>
      <c r="F34"/>
      <c r="G34"/>
      <c r="H34"/>
      <c r="I34"/>
    </row>
    <row r="35" spans="1:11">
      <c r="B35" s="207"/>
      <c r="C35" s="207"/>
      <c r="D35" s="206"/>
      <c r="E35" s="179"/>
      <c r="F35" s="179"/>
      <c r="G35" s="208"/>
    </row>
    <row r="36" spans="1:11" ht="15.75" thickBot="1">
      <c r="A36" s="175" t="s">
        <v>626</v>
      </c>
      <c r="B36" s="209"/>
      <c r="C36"/>
      <c r="D36"/>
      <c r="E36"/>
      <c r="F36"/>
      <c r="G36" s="208"/>
    </row>
    <row r="37" spans="1:11" ht="29.1" customHeight="1" thickBot="1">
      <c r="A37" s="1711" t="s">
        <v>627</v>
      </c>
      <c r="B37" s="1712"/>
      <c r="C37"/>
      <c r="D37"/>
      <c r="E37"/>
      <c r="F37"/>
      <c r="G37" s="208"/>
    </row>
    <row r="38" spans="1:11" ht="15">
      <c r="A38" s="400"/>
      <c r="B38" s="401" t="s">
        <v>628</v>
      </c>
      <c r="C38"/>
      <c r="D38"/>
      <c r="E38"/>
      <c r="F38"/>
      <c r="G38" s="208"/>
    </row>
    <row r="39" spans="1:11" ht="15">
      <c r="A39" s="167" t="s">
        <v>629</v>
      </c>
      <c r="B39" s="402" t="s">
        <v>630</v>
      </c>
      <c r="C39"/>
      <c r="D39"/>
      <c r="E39"/>
      <c r="F39"/>
    </row>
    <row r="40" spans="1:11" ht="15">
      <c r="A40" s="210" t="s">
        <v>631</v>
      </c>
      <c r="B40" s="160">
        <v>724</v>
      </c>
      <c r="C40"/>
      <c r="D40"/>
      <c r="E40"/>
      <c r="F40"/>
      <c r="G40" s="208"/>
    </row>
    <row r="41" spans="1:11" ht="15">
      <c r="A41" s="210" t="s">
        <v>632</v>
      </c>
      <c r="B41" s="160">
        <v>758</v>
      </c>
      <c r="C41"/>
      <c r="D41"/>
      <c r="E41"/>
      <c r="F41"/>
      <c r="G41" s="208"/>
      <c r="I41" s="168"/>
      <c r="K41" s="168"/>
    </row>
    <row r="42" spans="1:11" ht="15">
      <c r="A42" s="210" t="s">
        <v>633</v>
      </c>
      <c r="B42" s="160">
        <v>669</v>
      </c>
      <c r="C42"/>
      <c r="D42"/>
      <c r="E42"/>
      <c r="F42"/>
      <c r="G42" s="208"/>
    </row>
    <row r="43" spans="1:11" ht="15">
      <c r="A43" s="210" t="s">
        <v>634</v>
      </c>
      <c r="B43" s="160">
        <v>597</v>
      </c>
      <c r="C43"/>
      <c r="D43"/>
      <c r="E43"/>
      <c r="F43"/>
      <c r="G43" s="208"/>
    </row>
    <row r="44" spans="1:11" ht="15">
      <c r="A44" s="210" t="s">
        <v>635</v>
      </c>
      <c r="B44" s="160">
        <v>676</v>
      </c>
      <c r="C44"/>
      <c r="D44"/>
      <c r="E44"/>
      <c r="F44"/>
      <c r="G44" s="208"/>
    </row>
    <row r="45" spans="1:11" ht="15">
      <c r="A45" s="159" t="s">
        <v>636</v>
      </c>
      <c r="B45" s="403">
        <v>570</v>
      </c>
      <c r="C45"/>
      <c r="D45"/>
      <c r="E45"/>
      <c r="F45"/>
      <c r="G45" s="208"/>
    </row>
    <row r="46" spans="1:11" ht="15">
      <c r="A46" s="159" t="s">
        <v>637</v>
      </c>
      <c r="B46" s="403">
        <v>644</v>
      </c>
      <c r="C46"/>
      <c r="D46"/>
      <c r="E46"/>
      <c r="F46"/>
      <c r="G46" s="208"/>
    </row>
    <row r="47" spans="1:11" ht="15">
      <c r="A47" s="159" t="s">
        <v>638</v>
      </c>
      <c r="B47" s="403">
        <v>595</v>
      </c>
      <c r="C47"/>
      <c r="D47"/>
      <c r="E47"/>
      <c r="F47"/>
      <c r="G47" s="208"/>
    </row>
    <row r="48" spans="1:11" ht="15">
      <c r="A48" s="159" t="s">
        <v>639</v>
      </c>
      <c r="B48" s="403">
        <v>666</v>
      </c>
      <c r="C48"/>
      <c r="D48"/>
      <c r="E48"/>
      <c r="F48"/>
      <c r="G48" s="208"/>
    </row>
    <row r="49" spans="1:7" ht="15">
      <c r="A49" s="159" t="s">
        <v>640</v>
      </c>
      <c r="B49" s="403">
        <v>602</v>
      </c>
      <c r="C49"/>
      <c r="D49"/>
      <c r="E49"/>
      <c r="F49"/>
      <c r="G49" s="208"/>
    </row>
    <row r="50" spans="1:7" ht="15">
      <c r="A50" s="159" t="s">
        <v>641</v>
      </c>
      <c r="B50" s="403">
        <v>548</v>
      </c>
      <c r="C50"/>
      <c r="D50"/>
      <c r="E50"/>
      <c r="F50"/>
      <c r="G50" s="208"/>
    </row>
    <row r="51" spans="1:7" ht="15">
      <c r="A51" s="159" t="s">
        <v>642</v>
      </c>
      <c r="B51" s="403">
        <v>598</v>
      </c>
      <c r="C51"/>
      <c r="D51"/>
      <c r="E51"/>
      <c r="F51"/>
      <c r="G51" s="208"/>
    </row>
    <row r="52" spans="1:7" ht="15">
      <c r="A52" s="159" t="s">
        <v>643</v>
      </c>
      <c r="B52" s="403">
        <v>595</v>
      </c>
      <c r="C52"/>
      <c r="D52"/>
      <c r="E52"/>
      <c r="F52"/>
      <c r="G52" s="208"/>
    </row>
    <row r="53" spans="1:7" ht="15">
      <c r="A53" s="159" t="s">
        <v>644</v>
      </c>
      <c r="B53" s="403">
        <v>579</v>
      </c>
      <c r="C53"/>
      <c r="D53"/>
      <c r="E53"/>
      <c r="F53"/>
      <c r="G53" s="208"/>
    </row>
    <row r="54" spans="1:7" ht="15">
      <c r="A54" s="211" t="s">
        <v>645</v>
      </c>
      <c r="B54" s="404">
        <v>598</v>
      </c>
      <c r="C54"/>
      <c r="D54"/>
      <c r="E54"/>
      <c r="F54"/>
      <c r="G54" s="208"/>
    </row>
    <row r="55" spans="1:7" ht="15.75" thickBot="1">
      <c r="A55" s="169" t="s">
        <v>646</v>
      </c>
      <c r="B55" s="405">
        <f>SUM(B40:B54)/15</f>
        <v>627.93333333333328</v>
      </c>
      <c r="C55" s="133" t="s">
        <v>750</v>
      </c>
      <c r="D55"/>
      <c r="E55"/>
      <c r="F55"/>
      <c r="G55" s="208"/>
    </row>
    <row r="56" spans="1:7" ht="15.75" thickBot="1">
      <c r="A56" s="212" t="s">
        <v>854</v>
      </c>
      <c r="B56" s="178"/>
      <c r="C56"/>
      <c r="D56"/>
      <c r="E56"/>
      <c r="F56"/>
      <c r="G56" s="208"/>
    </row>
    <row r="57" spans="1:7">
      <c r="A57" s="213"/>
      <c r="B57" s="208"/>
      <c r="C57" s="208"/>
      <c r="D57" s="208"/>
      <c r="E57" s="208"/>
      <c r="F57" s="208"/>
      <c r="G57" s="208"/>
    </row>
    <row r="58" spans="1:7">
      <c r="A58" s="213"/>
      <c r="B58" s="208"/>
      <c r="C58" s="213"/>
      <c r="D58" s="208"/>
      <c r="E58" s="208"/>
      <c r="F58" s="208"/>
      <c r="G58" s="208"/>
    </row>
    <row r="59" spans="1:7">
      <c r="B59" s="207"/>
      <c r="C59" s="207"/>
      <c r="D59" s="179"/>
      <c r="E59" s="179"/>
      <c r="F59" s="179"/>
      <c r="G59" s="208"/>
    </row>
    <row r="60" spans="1:7">
      <c r="B60" s="207"/>
      <c r="C60" s="207"/>
      <c r="D60" s="179"/>
      <c r="E60" s="179"/>
      <c r="F60" s="179"/>
      <c r="G60" s="208"/>
    </row>
    <row r="61" spans="1:7" ht="13.5" thickBot="1">
      <c r="A61" s="175" t="s">
        <v>1818</v>
      </c>
      <c r="B61" s="209"/>
      <c r="C61" s="209"/>
      <c r="D61" s="179"/>
      <c r="E61" s="179"/>
      <c r="F61" s="179"/>
      <c r="G61" s="208"/>
    </row>
    <row r="62" spans="1:7" ht="15">
      <c r="A62" s="158" t="s">
        <v>647</v>
      </c>
      <c r="B62" s="214"/>
      <c r="C62" s="215"/>
      <c r="D62" s="179"/>
      <c r="E62"/>
      <c r="F62" s="179"/>
      <c r="G62" s="208"/>
    </row>
    <row r="63" spans="1:7" ht="15">
      <c r="A63" s="303"/>
      <c r="B63" s="218" t="s">
        <v>855</v>
      </c>
      <c r="C63" s="219" t="s">
        <v>649</v>
      </c>
      <c r="E63"/>
      <c r="F63" s="179"/>
      <c r="G63" s="208"/>
    </row>
    <row r="64" spans="1:7" ht="15">
      <c r="A64" s="159" t="s">
        <v>648</v>
      </c>
      <c r="B64" s="216">
        <f>+kg_per_m3_wood</f>
        <v>627.93333333333328</v>
      </c>
      <c r="C64" s="217"/>
      <c r="D64" s="179"/>
      <c r="E64"/>
      <c r="F64" s="179"/>
      <c r="G64" s="208"/>
    </row>
    <row r="65" spans="1:6" ht="15.75" thickBot="1">
      <c r="A65" s="197" t="s">
        <v>650</v>
      </c>
      <c r="B65" s="304">
        <f>+woodwgt_hhold_year</f>
        <v>2506.5893692833015</v>
      </c>
      <c r="C65" s="305">
        <f>+B65/B64</f>
        <v>3.9918081048146856</v>
      </c>
      <c r="D65" s="220" t="s">
        <v>651</v>
      </c>
      <c r="E65"/>
      <c r="F65" s="208"/>
    </row>
    <row r="66" spans="1:6" ht="15">
      <c r="A66"/>
      <c r="B66"/>
      <c r="C66"/>
      <c r="E66"/>
      <c r="F66" s="208"/>
    </row>
    <row r="67" spans="1:6" ht="15">
      <c r="A67"/>
      <c r="B67"/>
      <c r="C67"/>
      <c r="D67" s="208"/>
      <c r="E67"/>
      <c r="F67" s="208"/>
    </row>
    <row r="68" spans="1:6" ht="15">
      <c r="A68"/>
      <c r="B68"/>
      <c r="C68"/>
      <c r="D68" s="208"/>
      <c r="E68"/>
      <c r="F68" s="208"/>
    </row>
    <row r="69" spans="1:6" ht="15">
      <c r="A69"/>
      <c r="B69"/>
      <c r="C69"/>
      <c r="D69" s="208"/>
      <c r="E69"/>
      <c r="F69" s="208"/>
    </row>
    <row r="70" spans="1:6" ht="15">
      <c r="A70"/>
      <c r="B70"/>
      <c r="C70"/>
      <c r="D70"/>
      <c r="E70"/>
      <c r="F70"/>
    </row>
    <row r="71" spans="1:6" ht="15">
      <c r="A71"/>
      <c r="B71"/>
      <c r="C71"/>
      <c r="D71"/>
      <c r="E71"/>
      <c r="F71"/>
    </row>
    <row r="72" spans="1:6" ht="15">
      <c r="A72"/>
      <c r="B72"/>
      <c r="C72"/>
      <c r="D72"/>
      <c r="E72"/>
      <c r="F72"/>
    </row>
    <row r="73" spans="1:6" ht="15">
      <c r="A73"/>
      <c r="B73"/>
      <c r="C73"/>
      <c r="D73"/>
      <c r="E73"/>
      <c r="F73"/>
    </row>
    <row r="74" spans="1:6" ht="15">
      <c r="A74"/>
      <c r="B74"/>
      <c r="C74"/>
      <c r="D74"/>
      <c r="E74"/>
      <c r="F74"/>
    </row>
    <row r="75" spans="1:6" ht="15">
      <c r="A75"/>
      <c r="B75"/>
      <c r="C75"/>
      <c r="D75"/>
      <c r="E75"/>
      <c r="F75"/>
    </row>
    <row r="76" spans="1:6" ht="15">
      <c r="A76"/>
      <c r="B76"/>
      <c r="C76"/>
      <c r="D76"/>
      <c r="E76"/>
      <c r="F76"/>
    </row>
    <row r="77" spans="1:6" ht="15">
      <c r="A77"/>
      <c r="B77"/>
      <c r="C77"/>
      <c r="D77"/>
      <c r="E77"/>
      <c r="F77"/>
    </row>
    <row r="78" spans="1:6" ht="15">
      <c r="A78"/>
      <c r="B78"/>
      <c r="C78"/>
      <c r="D78"/>
      <c r="E78"/>
      <c r="F78"/>
    </row>
    <row r="79" spans="1:6" ht="15">
      <c r="A79"/>
      <c r="B79"/>
      <c r="C79"/>
      <c r="D79"/>
      <c r="E79"/>
      <c r="F79"/>
    </row>
    <row r="80" spans="1:6" ht="15">
      <c r="A80"/>
      <c r="B80"/>
      <c r="C80"/>
      <c r="D80"/>
      <c r="E80"/>
      <c r="F80"/>
    </row>
    <row r="81" spans="1:7" ht="15">
      <c r="A81"/>
      <c r="B81"/>
      <c r="C81"/>
      <c r="D81"/>
      <c r="E81"/>
      <c r="F81"/>
    </row>
    <row r="82" spans="1:7" ht="15">
      <c r="A82"/>
      <c r="B82"/>
      <c r="C82"/>
      <c r="D82"/>
      <c r="E82"/>
      <c r="F82"/>
      <c r="G82" s="179"/>
    </row>
    <row r="83" spans="1:7">
      <c r="F83" s="208"/>
      <c r="G83" s="179"/>
    </row>
    <row r="84" spans="1:7">
      <c r="F84" s="208"/>
      <c r="G84" s="179"/>
    </row>
    <row r="85" spans="1:7">
      <c r="F85" s="208"/>
      <c r="G85" s="179"/>
    </row>
    <row r="86" spans="1:7">
      <c r="F86" s="208"/>
      <c r="G86" s="179"/>
    </row>
    <row r="87" spans="1:7">
      <c r="F87" s="208"/>
      <c r="G87" s="179"/>
    </row>
    <row r="88" spans="1:7">
      <c r="F88" s="208"/>
      <c r="G88" s="179"/>
    </row>
  </sheetData>
  <mergeCells count="3">
    <mergeCell ref="A37:B37"/>
    <mergeCell ref="K13:O18"/>
    <mergeCell ref="G23:I23"/>
  </mergeCells>
  <pageMargins left="0.75" right="0.75" top="1" bottom="1" header="0.5" footer="0.5"/>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0400A"/>
  </sheetPr>
  <dimension ref="A1:V44"/>
  <sheetViews>
    <sheetView workbookViewId="0"/>
  </sheetViews>
  <sheetFormatPr defaultColWidth="11.42578125" defaultRowHeight="15"/>
  <cols>
    <col min="3" max="4" width="11" bestFit="1" customWidth="1"/>
    <col min="5" max="5" width="14.140625" bestFit="1" customWidth="1"/>
    <col min="6" max="6" width="19.85546875" customWidth="1"/>
    <col min="9" max="9" width="11" bestFit="1" customWidth="1"/>
    <col min="10" max="10" width="12.140625" bestFit="1" customWidth="1"/>
    <col min="11" max="11" width="14.140625" bestFit="1" customWidth="1"/>
    <col min="12" max="12" width="14" bestFit="1" customWidth="1"/>
  </cols>
  <sheetData>
    <row r="1" spans="1:22" ht="24.75">
      <c r="A1" s="1262" t="s">
        <v>1545</v>
      </c>
      <c r="B1" s="1271"/>
      <c r="C1" s="1271"/>
      <c r="D1" s="1271"/>
      <c r="E1" s="1271"/>
      <c r="F1" s="1271"/>
      <c r="G1" s="1267"/>
      <c r="H1" s="1267"/>
    </row>
    <row r="2" spans="1:22">
      <c r="P2" s="142"/>
      <c r="Q2" s="142"/>
    </row>
    <row r="3" spans="1:22">
      <c r="B3" t="s">
        <v>1544</v>
      </c>
      <c r="H3" t="s">
        <v>1544</v>
      </c>
    </row>
    <row r="4" spans="1:22">
      <c r="B4" t="s">
        <v>1550</v>
      </c>
      <c r="H4" t="s">
        <v>1549</v>
      </c>
      <c r="P4" s="144"/>
    </row>
    <row r="5" spans="1:22">
      <c r="A5" t="s">
        <v>1095</v>
      </c>
      <c r="B5" t="s">
        <v>1054</v>
      </c>
      <c r="C5" t="s">
        <v>596</v>
      </c>
      <c r="D5" t="s">
        <v>593</v>
      </c>
      <c r="E5" t="s">
        <v>1137</v>
      </c>
      <c r="F5" t="s">
        <v>1551</v>
      </c>
      <c r="H5" t="s">
        <v>1054</v>
      </c>
      <c r="I5" t="s">
        <v>596</v>
      </c>
      <c r="J5" t="s">
        <v>593</v>
      </c>
      <c r="K5" t="s">
        <v>1137</v>
      </c>
      <c r="L5" t="s">
        <v>1551</v>
      </c>
      <c r="M5" t="s">
        <v>1229</v>
      </c>
      <c r="P5" s="143" t="s">
        <v>847</v>
      </c>
    </row>
    <row r="6" spans="1:22" ht="15.75" thickBot="1">
      <c r="A6" t="s">
        <v>654</v>
      </c>
      <c r="B6" t="s">
        <v>1055</v>
      </c>
      <c r="C6" s="514">
        <v>154.60043382863839</v>
      </c>
      <c r="D6" s="514">
        <v>10148.419158935547</v>
      </c>
      <c r="E6" s="514">
        <v>1568950.004646301</v>
      </c>
      <c r="F6" s="514">
        <f>+E6*52</f>
        <v>81585400.241607651</v>
      </c>
      <c r="G6" s="514"/>
      <c r="H6" s="514" t="s">
        <v>1055</v>
      </c>
      <c r="I6" s="514">
        <v>203.62613636586013</v>
      </c>
      <c r="J6" s="514">
        <v>38563.364707946777</v>
      </c>
      <c r="K6" s="514">
        <v>7852508.9607467689</v>
      </c>
      <c r="L6" s="514">
        <f>+K6*52</f>
        <v>408330465.95883197</v>
      </c>
      <c r="M6" s="1153">
        <f t="shared" ref="M6:M12" si="0">E6/K6</f>
        <v>0.19980238322416316</v>
      </c>
      <c r="P6" s="144" t="s">
        <v>848</v>
      </c>
    </row>
    <row r="7" spans="1:22" ht="25.5" thickTop="1" thickBot="1">
      <c r="B7" t="s">
        <v>1056</v>
      </c>
      <c r="C7" s="514">
        <v>225.59711915787091</v>
      </c>
      <c r="D7" s="514">
        <v>10536.747928619385</v>
      </c>
      <c r="E7" s="514">
        <v>2377059.9779891968</v>
      </c>
      <c r="F7" s="514">
        <f t="shared" ref="F7:F12" si="1">+E7*52</f>
        <v>123607118.85543823</v>
      </c>
      <c r="G7" s="514"/>
      <c r="H7" s="514" t="s">
        <v>1056</v>
      </c>
      <c r="I7" s="514">
        <v>264.46564590948259</v>
      </c>
      <c r="J7" s="514">
        <v>57008.942279815674</v>
      </c>
      <c r="K7" s="514">
        <v>15076906.742647864</v>
      </c>
      <c r="L7" s="514">
        <f t="shared" ref="L7:L12" si="2">+K7*52</f>
        <v>783999150.61768889</v>
      </c>
      <c r="M7" s="1153">
        <f t="shared" si="0"/>
        <v>0.15766231220793028</v>
      </c>
      <c r="P7" s="1720" t="s">
        <v>104</v>
      </c>
      <c r="Q7" s="1721"/>
      <c r="R7" s="134" t="s">
        <v>573</v>
      </c>
      <c r="S7" s="134" t="s">
        <v>574</v>
      </c>
      <c r="T7" s="134" t="s">
        <v>575</v>
      </c>
      <c r="U7" s="135" t="s">
        <v>576</v>
      </c>
    </row>
    <row r="8" spans="1:22" ht="15.75" thickTop="1">
      <c r="B8" t="s">
        <v>1057</v>
      </c>
      <c r="C8" s="514">
        <v>567.20859663499277</v>
      </c>
      <c r="D8" s="514">
        <v>7417.4374618530273</v>
      </c>
      <c r="E8" s="514">
        <v>4207234.2933654785</v>
      </c>
      <c r="F8" s="514">
        <f t="shared" si="1"/>
        <v>218776183.25500488</v>
      </c>
      <c r="G8" s="514"/>
      <c r="H8" s="514" t="s">
        <v>1057</v>
      </c>
      <c r="I8" s="514">
        <v>643.50798435333991</v>
      </c>
      <c r="J8" s="514">
        <v>45830.114067077637</v>
      </c>
      <c r="K8" s="514">
        <v>29492044.325988781</v>
      </c>
      <c r="L8" s="514">
        <f t="shared" si="2"/>
        <v>1533586304.9514165</v>
      </c>
      <c r="M8" s="1153">
        <f t="shared" si="0"/>
        <v>0.14265658381836921</v>
      </c>
      <c r="P8" s="1722" t="s">
        <v>577</v>
      </c>
      <c r="Q8" s="136" t="s">
        <v>849</v>
      </c>
      <c r="R8" s="137">
        <v>417804</v>
      </c>
      <c r="S8" s="137">
        <v>13.6</v>
      </c>
      <c r="T8" s="137">
        <v>16.5</v>
      </c>
      <c r="U8" s="138">
        <v>16.5</v>
      </c>
      <c r="V8" s="514">
        <f>+R8+R9</f>
        <v>839976</v>
      </c>
    </row>
    <row r="9" spans="1:22" ht="24">
      <c r="B9" t="s">
        <v>1058</v>
      </c>
      <c r="C9" s="514">
        <v>473.49151712554408</v>
      </c>
      <c r="D9" s="514">
        <v>6206.549488067627</v>
      </c>
      <c r="E9" s="514">
        <v>2938748.5332199098</v>
      </c>
      <c r="F9" s="514">
        <f t="shared" si="1"/>
        <v>152814923.72743532</v>
      </c>
      <c r="G9" s="514"/>
      <c r="H9" s="514" t="s">
        <v>1058</v>
      </c>
      <c r="I9" s="514">
        <v>539.69090648228428</v>
      </c>
      <c r="J9" s="514">
        <v>35721.993453979492</v>
      </c>
      <c r="K9" s="514">
        <v>19278835.028532416</v>
      </c>
      <c r="L9" s="514">
        <f t="shared" si="2"/>
        <v>1002499421.4836856</v>
      </c>
      <c r="M9" s="1153">
        <f t="shared" si="0"/>
        <v>0.15243392709521097</v>
      </c>
      <c r="P9" s="1723"/>
      <c r="Q9" s="139" t="s">
        <v>850</v>
      </c>
      <c r="R9" s="137">
        <v>422172</v>
      </c>
      <c r="S9" s="137">
        <v>13.7</v>
      </c>
      <c r="T9" s="137">
        <v>16.7</v>
      </c>
      <c r="U9" s="138">
        <v>33.200000000000003</v>
      </c>
    </row>
    <row r="10" spans="1:22" ht="24">
      <c r="B10" t="s">
        <v>1059</v>
      </c>
      <c r="C10" s="514">
        <v>447.72355780507763</v>
      </c>
      <c r="D10" s="514">
        <v>27942.230010986328</v>
      </c>
      <c r="E10" s="514">
        <v>12510394.633526612</v>
      </c>
      <c r="F10" s="514">
        <f t="shared" si="1"/>
        <v>650540520.94338381</v>
      </c>
      <c r="G10" s="514"/>
      <c r="H10" s="514" t="s">
        <v>1059</v>
      </c>
      <c r="I10" s="514">
        <v>310.03863289062002</v>
      </c>
      <c r="J10" s="514">
        <v>170955.60974121094</v>
      </c>
      <c r="K10" s="514">
        <v>53002843.529147401</v>
      </c>
      <c r="L10" s="514">
        <f t="shared" si="2"/>
        <v>2756147863.5156651</v>
      </c>
      <c r="M10" s="1153">
        <f t="shared" si="0"/>
        <v>0.23603251826756949</v>
      </c>
      <c r="P10" s="1723"/>
      <c r="Q10" s="139" t="s">
        <v>851</v>
      </c>
      <c r="R10" s="137">
        <v>478023</v>
      </c>
      <c r="S10" s="137">
        <v>15.6</v>
      </c>
      <c r="T10" s="137">
        <v>18.899999999999999</v>
      </c>
      <c r="U10" s="138">
        <v>52.1</v>
      </c>
    </row>
    <row r="11" spans="1:22" ht="36">
      <c r="B11" t="s">
        <v>697</v>
      </c>
      <c r="C11" s="514">
        <v>596.96019402178183</v>
      </c>
      <c r="D11" s="514">
        <v>1932.0637016296387</v>
      </c>
      <c r="E11" s="514">
        <v>1153365.122187271</v>
      </c>
      <c r="F11" s="514">
        <f t="shared" si="1"/>
        <v>59974986.353738092</v>
      </c>
      <c r="G11" s="514"/>
      <c r="H11" s="514" t="s">
        <v>697</v>
      </c>
      <c r="I11" s="514">
        <v>312.86130050707413</v>
      </c>
      <c r="J11" s="514">
        <v>26815.878707885742</v>
      </c>
      <c r="K11" s="514">
        <v>8389650.6867890917</v>
      </c>
      <c r="L11" s="514">
        <f t="shared" si="2"/>
        <v>436261835.71303278</v>
      </c>
      <c r="M11" s="1153">
        <f t="shared" si="0"/>
        <v>0.13747474897893394</v>
      </c>
      <c r="P11" s="1723"/>
      <c r="Q11" s="139" t="s">
        <v>852</v>
      </c>
      <c r="R11" s="137" t="s">
        <v>853</v>
      </c>
      <c r="S11" s="137">
        <v>37.1</v>
      </c>
      <c r="T11" s="137">
        <v>45</v>
      </c>
      <c r="U11" s="138">
        <v>97</v>
      </c>
    </row>
    <row r="12" spans="1:22" ht="24">
      <c r="B12" s="1" t="s">
        <v>1548</v>
      </c>
      <c r="C12" s="514"/>
      <c r="D12" s="415">
        <f>SUM(D6:D11)</f>
        <v>64183.447750091553</v>
      </c>
      <c r="E12" s="415">
        <f>SUM(E6:E11)</f>
        <v>24755752.564934768</v>
      </c>
      <c r="F12" s="415">
        <f t="shared" si="1"/>
        <v>1287299133.3766079</v>
      </c>
      <c r="G12" s="514"/>
      <c r="H12" s="1" t="s">
        <v>1548</v>
      </c>
      <c r="I12" s="514"/>
      <c r="J12" s="415">
        <f>SUM(J6:J11)</f>
        <v>374895.90295791626</v>
      </c>
      <c r="K12" s="415">
        <f>SUM(K6:K11)</f>
        <v>133092789.27385233</v>
      </c>
      <c r="L12" s="415">
        <f t="shared" si="2"/>
        <v>6920825042.2403212</v>
      </c>
      <c r="M12" s="1154">
        <f t="shared" si="0"/>
        <v>0.18600370989293205</v>
      </c>
      <c r="P12" s="1723"/>
      <c r="Q12" s="139" t="s">
        <v>587</v>
      </c>
      <c r="R12" s="137">
        <v>74908</v>
      </c>
      <c r="S12" s="137">
        <v>2.4</v>
      </c>
      <c r="T12" s="137">
        <v>3</v>
      </c>
      <c r="U12" s="138">
        <v>100</v>
      </c>
    </row>
    <row r="13" spans="1:22">
      <c r="B13" s="1"/>
      <c r="C13" s="514"/>
      <c r="D13" s="415"/>
      <c r="E13" s="415"/>
      <c r="F13" s="514"/>
      <c r="G13" s="514"/>
      <c r="H13" s="514"/>
      <c r="I13" s="514"/>
      <c r="J13" s="415"/>
      <c r="K13" s="415"/>
      <c r="L13" s="514"/>
      <c r="M13" s="1153"/>
      <c r="P13" s="1723"/>
      <c r="Q13" s="139" t="s">
        <v>33</v>
      </c>
      <c r="R13" s="137">
        <v>2531990</v>
      </c>
      <c r="S13" s="137">
        <v>82.4</v>
      </c>
      <c r="T13" s="137">
        <v>100</v>
      </c>
      <c r="U13" s="138" t="s">
        <v>104</v>
      </c>
    </row>
    <row r="14" spans="1:22">
      <c r="A14" t="s">
        <v>707</v>
      </c>
      <c r="B14" t="s">
        <v>1061</v>
      </c>
      <c r="C14" s="514">
        <v>567.28503030507306</v>
      </c>
      <c r="D14" s="514">
        <v>77867.471054077148</v>
      </c>
      <c r="E14" s="514">
        <v>44173050.676691554</v>
      </c>
      <c r="F14" s="514">
        <f t="shared" ref="F14:F24" si="3">+E14*52</f>
        <v>2296998635.1879606</v>
      </c>
      <c r="G14" s="514"/>
      <c r="H14" s="514" t="s">
        <v>1061</v>
      </c>
      <c r="I14" s="514">
        <v>504.38938083202737</v>
      </c>
      <c r="J14" s="514">
        <v>136450.87448120117</v>
      </c>
      <c r="K14" s="514">
        <v>68824372.093561739</v>
      </c>
      <c r="L14" s="514">
        <f t="shared" ref="L14:L24" si="4">+K14*52</f>
        <v>3578867348.8652105</v>
      </c>
      <c r="M14" s="1153">
        <f t="shared" ref="M14:M24" si="5">E14/K14</f>
        <v>0.64182279231899853</v>
      </c>
      <c r="P14" s="1077" t="s">
        <v>590</v>
      </c>
      <c r="Q14" s="136" t="s">
        <v>591</v>
      </c>
      <c r="R14" s="137">
        <v>540535</v>
      </c>
      <c r="S14" s="137">
        <v>17.600000000000001</v>
      </c>
      <c r="T14" s="137" t="s">
        <v>104</v>
      </c>
      <c r="U14" s="138" t="s">
        <v>104</v>
      </c>
    </row>
    <row r="15" spans="1:22" ht="15.75" thickBot="1">
      <c r="B15" t="s">
        <v>1062</v>
      </c>
      <c r="C15" s="514">
        <v>595.1030284298331</v>
      </c>
      <c r="D15" s="514">
        <v>24095.709915161133</v>
      </c>
      <c r="E15" s="514">
        <v>14339429.942679146</v>
      </c>
      <c r="F15" s="514">
        <f t="shared" si="3"/>
        <v>745650357.0193156</v>
      </c>
      <c r="G15" s="514"/>
      <c r="H15" s="514" t="s">
        <v>1062</v>
      </c>
      <c r="I15" s="514">
        <v>595.85186903057513</v>
      </c>
      <c r="J15" s="514">
        <v>65041.691680908203</v>
      </c>
      <c r="K15" s="514">
        <v>38755213.552979566</v>
      </c>
      <c r="L15" s="514">
        <f t="shared" si="4"/>
        <v>2015271104.7549374</v>
      </c>
      <c r="M15" s="1153">
        <f t="shared" si="5"/>
        <v>0.37000002394714471</v>
      </c>
      <c r="P15" s="1724" t="s">
        <v>33</v>
      </c>
      <c r="Q15" s="1725"/>
      <c r="R15" s="140">
        <v>3072525</v>
      </c>
      <c r="S15" s="140">
        <v>100</v>
      </c>
      <c r="T15" s="140" t="s">
        <v>104</v>
      </c>
      <c r="U15" s="141" t="s">
        <v>104</v>
      </c>
    </row>
    <row r="16" spans="1:22" ht="15.75" thickTop="1">
      <c r="B16" t="s">
        <v>1063</v>
      </c>
      <c r="C16" s="514">
        <v>598.60513407054918</v>
      </c>
      <c r="D16" s="514">
        <v>22485.160278320313</v>
      </c>
      <c r="E16" s="514">
        <v>13459732.383001717</v>
      </c>
      <c r="F16" s="514">
        <f t="shared" si="3"/>
        <v>699906083.9160893</v>
      </c>
      <c r="G16" s="514"/>
      <c r="H16" s="514" t="s">
        <v>1063</v>
      </c>
      <c r="I16" s="514">
        <v>638.38202248788662</v>
      </c>
      <c r="J16" s="514">
        <v>49394.60270690918</v>
      </c>
      <c r="K16" s="514">
        <v>31532626.37602232</v>
      </c>
      <c r="L16" s="514">
        <f t="shared" si="4"/>
        <v>1639696571.5531607</v>
      </c>
      <c r="M16" s="1153">
        <f t="shared" si="5"/>
        <v>0.4268509772226462</v>
      </c>
      <c r="P16" s="145"/>
    </row>
    <row r="17" spans="1:13">
      <c r="B17" t="s">
        <v>1064</v>
      </c>
      <c r="C17" s="514">
        <v>598.18089866577191</v>
      </c>
      <c r="D17" s="514">
        <v>83584.26350402832</v>
      </c>
      <c r="E17" s="514">
        <v>49998509.857156344</v>
      </c>
      <c r="F17" s="514">
        <f t="shared" si="3"/>
        <v>2599922512.5721297</v>
      </c>
      <c r="G17" s="514"/>
      <c r="H17" s="514" t="s">
        <v>1064</v>
      </c>
      <c r="I17" s="514">
        <v>553.30626049415991</v>
      </c>
      <c r="J17" s="514">
        <v>122682.2445526123</v>
      </c>
      <c r="K17" s="514">
        <v>67880853.962435931</v>
      </c>
      <c r="L17" s="514">
        <f t="shared" si="4"/>
        <v>3529804406.0466685</v>
      </c>
      <c r="M17" s="1153">
        <f t="shared" si="5"/>
        <v>0.73656277048053398</v>
      </c>
    </row>
    <row r="18" spans="1:13">
      <c r="B18" t="s">
        <v>121</v>
      </c>
      <c r="C18" s="514">
        <v>501.27683834126566</v>
      </c>
      <c r="D18" s="514">
        <v>37314.268112182617</v>
      </c>
      <c r="E18" s="514">
        <v>18704778.344293211</v>
      </c>
      <c r="F18" s="514">
        <f t="shared" si="3"/>
        <v>972648473.903247</v>
      </c>
      <c r="G18" s="514"/>
      <c r="H18" s="514" t="s">
        <v>121</v>
      </c>
      <c r="I18" s="514">
        <v>522.85721836684274</v>
      </c>
      <c r="J18" s="514">
        <v>73630.720520019531</v>
      </c>
      <c r="K18" s="514">
        <v>38498353.717443824</v>
      </c>
      <c r="L18" s="514">
        <f t="shared" si="4"/>
        <v>2001914393.3070788</v>
      </c>
      <c r="M18" s="1153">
        <f t="shared" si="5"/>
        <v>0.48585917417601077</v>
      </c>
    </row>
    <row r="19" spans="1:13">
      <c r="B19" t="s">
        <v>1065</v>
      </c>
      <c r="C19" s="514">
        <v>519.26931968663928</v>
      </c>
      <c r="D19" s="514">
        <v>107306.03736114502</v>
      </c>
      <c r="E19" s="514">
        <v>55720733.018790871</v>
      </c>
      <c r="F19" s="514">
        <f t="shared" si="3"/>
        <v>2897478116.9771252</v>
      </c>
      <c r="G19" s="514"/>
      <c r="H19" s="514" t="s">
        <v>1065</v>
      </c>
      <c r="I19" s="514">
        <v>390.80960001132274</v>
      </c>
      <c r="J19" s="514">
        <v>263005.00230407715</v>
      </c>
      <c r="K19" s="514">
        <v>102784879.7514334</v>
      </c>
      <c r="L19" s="514">
        <f t="shared" si="4"/>
        <v>5344813747.0745373</v>
      </c>
      <c r="M19" s="1153">
        <f t="shared" si="5"/>
        <v>0.54211021264549186</v>
      </c>
    </row>
    <row r="20" spans="1:13">
      <c r="B20" t="s">
        <v>1066</v>
      </c>
      <c r="C20" s="514">
        <v>365.76200015291749</v>
      </c>
      <c r="D20" s="514">
        <v>23096.711837768555</v>
      </c>
      <c r="E20" s="514">
        <v>8447899.518737793</v>
      </c>
      <c r="F20" s="514">
        <f t="shared" si="3"/>
        <v>439290774.97436523</v>
      </c>
      <c r="G20" s="514"/>
      <c r="H20" s="514" t="s">
        <v>1066</v>
      </c>
      <c r="I20" s="514">
        <v>306.52993532672355</v>
      </c>
      <c r="J20" s="514">
        <v>99553.788681030273</v>
      </c>
      <c r="K20" s="514">
        <v>30516216.405926511</v>
      </c>
      <c r="L20" s="514">
        <f t="shared" si="4"/>
        <v>1586843253.1081786</v>
      </c>
      <c r="M20" s="1153">
        <f t="shared" si="5"/>
        <v>0.27683312394839155</v>
      </c>
    </row>
    <row r="21" spans="1:13">
      <c r="B21" t="s">
        <v>118</v>
      </c>
      <c r="C21" s="514">
        <v>525.59018115262563</v>
      </c>
      <c r="D21" s="514">
        <v>62091.234252929688</v>
      </c>
      <c r="E21" s="514">
        <v>32634543.058987428</v>
      </c>
      <c r="F21" s="514">
        <f t="shared" si="3"/>
        <v>1696996239.0673463</v>
      </c>
      <c r="G21" s="514"/>
      <c r="H21" s="514" t="s">
        <v>118</v>
      </c>
      <c r="I21" s="514">
        <v>502.02178753664208</v>
      </c>
      <c r="J21" s="514">
        <v>138141.80274963379</v>
      </c>
      <c r="K21" s="514">
        <v>69350194.749905378</v>
      </c>
      <c r="L21" s="514">
        <f t="shared" si="4"/>
        <v>3606210126.9950795</v>
      </c>
      <c r="M21" s="1153">
        <f t="shared" si="5"/>
        <v>0.47057608384051375</v>
      </c>
    </row>
    <row r="22" spans="1:13">
      <c r="B22" t="s">
        <v>1067</v>
      </c>
      <c r="C22" s="514">
        <v>443.93340708992997</v>
      </c>
      <c r="D22" s="514">
        <v>55348.887725830078</v>
      </c>
      <c r="E22" s="514">
        <v>24571220.306765754</v>
      </c>
      <c r="F22" s="514">
        <f t="shared" si="3"/>
        <v>1277703455.9518192</v>
      </c>
      <c r="G22" s="514"/>
      <c r="H22" s="514" t="s">
        <v>1067</v>
      </c>
      <c r="I22" s="514">
        <v>453.4589033604334</v>
      </c>
      <c r="J22" s="514">
        <v>109398.12567138672</v>
      </c>
      <c r="K22" s="514">
        <v>49607554.096633896</v>
      </c>
      <c r="L22" s="514">
        <f t="shared" si="4"/>
        <v>2579592813.0249624</v>
      </c>
      <c r="M22" s="1153">
        <f t="shared" si="5"/>
        <v>0.4953120699904256</v>
      </c>
    </row>
    <row r="23" spans="1:13">
      <c r="B23" t="s">
        <v>698</v>
      </c>
      <c r="C23" s="514">
        <v>133.8102229162744</v>
      </c>
      <c r="D23" s="514">
        <v>3503.2484436035156</v>
      </c>
      <c r="E23" s="514">
        <v>468770.45516967779</v>
      </c>
      <c r="F23" s="514">
        <f t="shared" si="3"/>
        <v>24376063.668823246</v>
      </c>
      <c r="G23" s="514"/>
      <c r="H23" s="514" t="s">
        <v>698</v>
      </c>
      <c r="I23" s="514">
        <v>348.80883638075551</v>
      </c>
      <c r="J23" s="514">
        <v>108631.39332580566</v>
      </c>
      <c r="K23" s="514">
        <v>37891589.900394447</v>
      </c>
      <c r="L23" s="514">
        <f t="shared" si="4"/>
        <v>1970362674.8205113</v>
      </c>
      <c r="M23" s="1153">
        <f t="shared" si="5"/>
        <v>1.237135882664026E-2</v>
      </c>
    </row>
    <row r="24" spans="1:13">
      <c r="B24" s="1" t="s">
        <v>1547</v>
      </c>
      <c r="C24" s="415"/>
      <c r="D24" s="415">
        <f>SUM(D14:D23)</f>
        <v>496692.99248504639</v>
      </c>
      <c r="E24" s="415">
        <f>SUM(E14:E23)</f>
        <v>262518667.5622735</v>
      </c>
      <c r="F24" s="415">
        <f t="shared" si="3"/>
        <v>13650970713.238222</v>
      </c>
      <c r="G24" s="514"/>
      <c r="H24" s="1" t="s">
        <v>1547</v>
      </c>
      <c r="I24" s="514"/>
      <c r="J24" s="415">
        <f>SUM(J14:J23)</f>
        <v>1165930.246673584</v>
      </c>
      <c r="K24" s="415">
        <f>SUM(K14:K23)</f>
        <v>535641854.60673702</v>
      </c>
      <c r="L24" s="415">
        <f t="shared" si="4"/>
        <v>27853376439.550323</v>
      </c>
      <c r="M24" s="1154">
        <f t="shared" si="5"/>
        <v>0.49010111010651347</v>
      </c>
    </row>
    <row r="25" spans="1:13">
      <c r="C25" s="514"/>
      <c r="D25" s="514"/>
      <c r="E25" s="514"/>
      <c r="F25" s="514"/>
      <c r="G25" s="514"/>
      <c r="H25" s="514"/>
      <c r="I25" s="514"/>
      <c r="J25" s="514"/>
      <c r="K25" s="514"/>
      <c r="L25" s="514"/>
      <c r="M25" s="1153"/>
    </row>
    <row r="26" spans="1:13">
      <c r="A26" t="s">
        <v>656</v>
      </c>
      <c r="B26" t="s">
        <v>1069</v>
      </c>
      <c r="C26" s="514">
        <v>234.03007983380468</v>
      </c>
      <c r="D26" s="514">
        <v>18549.655670166016</v>
      </c>
      <c r="E26" s="514">
        <v>4341177.3973785406</v>
      </c>
      <c r="F26" s="514">
        <f t="shared" ref="F26:F41" si="6">+E26*52</f>
        <v>225741224.6636841</v>
      </c>
      <c r="G26" s="514"/>
      <c r="H26" s="514" t="s">
        <v>1069</v>
      </c>
      <c r="I26" s="514">
        <v>325.1417065462503</v>
      </c>
      <c r="J26" s="514">
        <v>173863.88778686523</v>
      </c>
      <c r="K26" s="514">
        <v>56530401.181787126</v>
      </c>
      <c r="L26" s="514">
        <f t="shared" ref="L26:L41" si="7">+K26*52</f>
        <v>2939580861.4529305</v>
      </c>
      <c r="M26" s="1153">
        <f t="shared" ref="M26:M41" si="8">E26/K26</f>
        <v>7.6793677501393251E-2</v>
      </c>
    </row>
    <row r="27" spans="1:13">
      <c r="B27" t="s">
        <v>1070</v>
      </c>
      <c r="C27" s="514">
        <v>286.90632670379176</v>
      </c>
      <c r="D27" s="514">
        <v>25242.818344116211</v>
      </c>
      <c r="E27" s="514">
        <v>7242324.2867614739</v>
      </c>
      <c r="F27" s="514">
        <f t="shared" si="6"/>
        <v>376600862.91159666</v>
      </c>
      <c r="G27" s="514"/>
      <c r="H27" s="514" t="s">
        <v>1070</v>
      </c>
      <c r="I27" s="514">
        <v>340.11362807515968</v>
      </c>
      <c r="J27" s="514">
        <v>114698.36483764648</v>
      </c>
      <c r="K27" s="514">
        <v>39010476.999220267</v>
      </c>
      <c r="L27" s="514">
        <f t="shared" si="7"/>
        <v>2028544803.9594538</v>
      </c>
      <c r="M27" s="1153">
        <f t="shared" si="8"/>
        <v>0.18565074933347347</v>
      </c>
    </row>
    <row r="28" spans="1:13">
      <c r="B28" t="s">
        <v>128</v>
      </c>
      <c r="C28" s="514">
        <v>350.86750312982491</v>
      </c>
      <c r="D28" s="514">
        <v>57080.567932128906</v>
      </c>
      <c r="E28" s="514">
        <v>20027716.347578421</v>
      </c>
      <c r="F28" s="514">
        <f t="shared" si="6"/>
        <v>1041441250.0740778</v>
      </c>
      <c r="G28" s="514"/>
      <c r="H28" s="514" t="s">
        <v>128</v>
      </c>
      <c r="I28" s="514">
        <v>393.91469025313882</v>
      </c>
      <c r="J28" s="514">
        <v>137031.2442779541</v>
      </c>
      <c r="K28" s="514">
        <v>53978620.144752488</v>
      </c>
      <c r="L28" s="514">
        <f t="shared" si="7"/>
        <v>2806888247.5271292</v>
      </c>
      <c r="M28" s="1153">
        <f t="shared" si="8"/>
        <v>0.37103053568006794</v>
      </c>
    </row>
    <row r="29" spans="1:13">
      <c r="B29" t="s">
        <v>1071</v>
      </c>
      <c r="C29" s="514">
        <v>535.11866564684681</v>
      </c>
      <c r="D29" s="514">
        <v>22226.325248718262</v>
      </c>
      <c r="E29" s="514">
        <v>11893721.509326937</v>
      </c>
      <c r="F29" s="514">
        <f t="shared" si="6"/>
        <v>618473518.48500073</v>
      </c>
      <c r="G29" s="514"/>
      <c r="H29" s="514" t="s">
        <v>1071</v>
      </c>
      <c r="I29" s="514">
        <v>542.85331634087549</v>
      </c>
      <c r="J29" s="514">
        <v>69189.446151733398</v>
      </c>
      <c r="K29" s="514">
        <v>37559720.299256898</v>
      </c>
      <c r="L29" s="514">
        <f t="shared" si="7"/>
        <v>1953105455.5613587</v>
      </c>
      <c r="M29" s="1153">
        <f t="shared" si="8"/>
        <v>0.31666161021870676</v>
      </c>
    </row>
    <row r="30" spans="1:13">
      <c r="B30" t="s">
        <v>1072</v>
      </c>
      <c r="C30" s="514">
        <v>493.82548055657304</v>
      </c>
      <c r="D30" s="514">
        <v>21020.821044921875</v>
      </c>
      <c r="E30" s="514">
        <v>10380617.054202268</v>
      </c>
      <c r="F30" s="514">
        <f t="shared" si="6"/>
        <v>539792086.81851792</v>
      </c>
      <c r="G30" s="514"/>
      <c r="H30" s="514" t="s">
        <v>1072</v>
      </c>
      <c r="I30" s="514">
        <v>476.26578585444491</v>
      </c>
      <c r="J30" s="514">
        <v>81193.182792663574</v>
      </c>
      <c r="K30" s="514">
        <v>38669535.008771509</v>
      </c>
      <c r="L30" s="514">
        <f t="shared" si="7"/>
        <v>2010815820.4561186</v>
      </c>
      <c r="M30" s="1153">
        <f t="shared" si="8"/>
        <v>0.26844432062210227</v>
      </c>
    </row>
    <row r="31" spans="1:13">
      <c r="B31" t="s">
        <v>123</v>
      </c>
      <c r="C31" s="514">
        <v>277.94112706048008</v>
      </c>
      <c r="D31" s="514">
        <v>4006.8380279541016</v>
      </c>
      <c r="E31" s="514">
        <v>1113665.0774383545</v>
      </c>
      <c r="F31" s="514">
        <f t="shared" si="6"/>
        <v>57910584.026794434</v>
      </c>
      <c r="G31" s="514"/>
      <c r="H31" s="514" t="s">
        <v>123</v>
      </c>
      <c r="I31" s="514">
        <v>306.94413208930592</v>
      </c>
      <c r="J31" s="514">
        <v>19609.947057723999</v>
      </c>
      <c r="K31" s="514">
        <v>6019158.1799503313</v>
      </c>
      <c r="L31" s="514">
        <f t="shared" si="7"/>
        <v>312996225.35741723</v>
      </c>
      <c r="M31" s="1153">
        <f t="shared" si="8"/>
        <v>0.18502007160202993</v>
      </c>
    </row>
    <row r="32" spans="1:13">
      <c r="B32" t="s">
        <v>1073</v>
      </c>
      <c r="C32" s="514">
        <v>543.91639721818376</v>
      </c>
      <c r="D32" s="514">
        <v>39129.396713256836</v>
      </c>
      <c r="E32" s="514">
        <v>21283120.485595699</v>
      </c>
      <c r="F32" s="514">
        <f t="shared" si="6"/>
        <v>1106722265.2509763</v>
      </c>
      <c r="G32" s="514"/>
      <c r="H32" s="514" t="s">
        <v>1073</v>
      </c>
      <c r="I32" s="514">
        <v>473.6726635580896</v>
      </c>
      <c r="J32" s="514">
        <v>146730.69454956055</v>
      </c>
      <c r="K32" s="514">
        <v>69502318.913018808</v>
      </c>
      <c r="L32" s="514">
        <f t="shared" si="7"/>
        <v>3614120583.4769778</v>
      </c>
      <c r="M32" s="1153">
        <f t="shared" si="8"/>
        <v>0.3062217321443797</v>
      </c>
    </row>
    <row r="33" spans="1:13">
      <c r="B33" t="s">
        <v>1074</v>
      </c>
      <c r="C33" s="514">
        <v>459.61056267397078</v>
      </c>
      <c r="D33" s="514">
        <v>15062.933547973633</v>
      </c>
      <c r="E33" s="514">
        <v>6923083.3635047926</v>
      </c>
      <c r="F33" s="514">
        <f t="shared" si="6"/>
        <v>360000334.90224922</v>
      </c>
      <c r="G33" s="514"/>
      <c r="H33" s="514" t="s">
        <v>1074</v>
      </c>
      <c r="I33" s="514">
        <v>608.722429530932</v>
      </c>
      <c r="J33" s="514">
        <v>124273.8610534668</v>
      </c>
      <c r="K33" s="514">
        <v>75648286.627655774</v>
      </c>
      <c r="L33" s="514">
        <f t="shared" si="7"/>
        <v>3933710904.6381001</v>
      </c>
      <c r="M33" s="1153">
        <f t="shared" si="8"/>
        <v>9.1516723935606323E-2</v>
      </c>
    </row>
    <row r="34" spans="1:13">
      <c r="B34" t="s">
        <v>1075</v>
      </c>
      <c r="C34" s="514">
        <v>451.06840718114063</v>
      </c>
      <c r="D34" s="514">
        <v>8577.0674438476562</v>
      </c>
      <c r="E34" s="514">
        <v>3868844.1501815799</v>
      </c>
      <c r="F34" s="514">
        <f t="shared" si="6"/>
        <v>201179895.80944216</v>
      </c>
      <c r="G34" s="514"/>
      <c r="H34" s="514" t="s">
        <v>1075</v>
      </c>
      <c r="I34" s="514">
        <v>567.47917603961901</v>
      </c>
      <c r="J34" s="514">
        <v>75713.734832763672</v>
      </c>
      <c r="K34" s="514">
        <v>42965967.857778929</v>
      </c>
      <c r="L34" s="514">
        <f t="shared" si="7"/>
        <v>2234230328.6045041</v>
      </c>
      <c r="M34" s="1153">
        <f t="shared" si="8"/>
        <v>9.0044384965044633E-2</v>
      </c>
    </row>
    <row r="35" spans="1:13">
      <c r="B35" t="s">
        <v>1076</v>
      </c>
      <c r="C35" s="514">
        <v>317.13428110855864</v>
      </c>
      <c r="D35" s="514">
        <v>8489.5331878662109</v>
      </c>
      <c r="E35" s="514">
        <v>2692322.0044812011</v>
      </c>
      <c r="F35" s="514">
        <f t="shared" si="6"/>
        <v>140000744.23302245</v>
      </c>
      <c r="G35" s="514"/>
      <c r="H35" s="514" t="s">
        <v>1076</v>
      </c>
      <c r="I35" s="514">
        <v>334.73292766337937</v>
      </c>
      <c r="J35" s="514">
        <v>103261.83660888672</v>
      </c>
      <c r="K35" s="514">
        <v>34565136.883990176</v>
      </c>
      <c r="L35" s="514">
        <f t="shared" si="7"/>
        <v>1797387117.9674892</v>
      </c>
      <c r="M35" s="1153">
        <f t="shared" si="8"/>
        <v>7.7891258279038561E-2</v>
      </c>
    </row>
    <row r="36" spans="1:13">
      <c r="B36" t="s">
        <v>1077</v>
      </c>
      <c r="C36" s="514">
        <v>260.3427074901611</v>
      </c>
      <c r="D36" s="514">
        <v>3804.9037628173828</v>
      </c>
      <c r="E36" s="514">
        <v>990578.9473513792</v>
      </c>
      <c r="F36" s="514">
        <f t="shared" si="6"/>
        <v>51510105.262271717</v>
      </c>
      <c r="G36" s="514"/>
      <c r="H36" s="514" t="s">
        <v>1077</v>
      </c>
      <c r="I36" s="514">
        <v>302.11776909456364</v>
      </c>
      <c r="J36" s="514">
        <v>60545.175109863281</v>
      </c>
      <c r="K36" s="514">
        <v>18291773.233631596</v>
      </c>
      <c r="L36" s="514">
        <f t="shared" si="7"/>
        <v>951172208.14884305</v>
      </c>
      <c r="M36" s="1153">
        <f t="shared" si="8"/>
        <v>5.4154342211616871E-2</v>
      </c>
    </row>
    <row r="37" spans="1:13">
      <c r="B37" t="s">
        <v>1078</v>
      </c>
      <c r="C37" s="514">
        <v>483.13129209000795</v>
      </c>
      <c r="D37" s="514">
        <v>36214.047744750977</v>
      </c>
      <c r="E37" s="514">
        <v>17496139.678730778</v>
      </c>
      <c r="F37" s="514">
        <f t="shared" si="6"/>
        <v>909799263.29400051</v>
      </c>
      <c r="G37" s="514"/>
      <c r="H37" s="514" t="s">
        <v>1078</v>
      </c>
      <c r="I37" s="514">
        <v>453.12762727733235</v>
      </c>
      <c r="J37" s="514">
        <v>76397.330322265625</v>
      </c>
      <c r="K37" s="514">
        <v>34617741.019250818</v>
      </c>
      <c r="L37" s="514">
        <f t="shared" si="7"/>
        <v>1800122533.0010426</v>
      </c>
      <c r="M37" s="1153">
        <f t="shared" si="8"/>
        <v>0.50540962996404737</v>
      </c>
    </row>
    <row r="38" spans="1:13">
      <c r="B38" t="s">
        <v>1079</v>
      </c>
      <c r="C38" s="514">
        <v>359.33996862599963</v>
      </c>
      <c r="D38" s="514">
        <v>6239.915210723877</v>
      </c>
      <c r="E38" s="514">
        <v>2242250.936050416</v>
      </c>
      <c r="F38" s="514">
        <f t="shared" si="6"/>
        <v>116597048.67462163</v>
      </c>
      <c r="G38" s="514"/>
      <c r="H38" s="514" t="s">
        <v>1079</v>
      </c>
      <c r="I38" s="514">
        <v>331.48368521185148</v>
      </c>
      <c r="J38" s="514">
        <v>25532.09289932251</v>
      </c>
      <c r="K38" s="514">
        <v>8463472.2454387713</v>
      </c>
      <c r="L38" s="514">
        <f t="shared" si="7"/>
        <v>440100556.76281613</v>
      </c>
      <c r="M38" s="1153">
        <f t="shared" si="8"/>
        <v>0.26493274521681509</v>
      </c>
    </row>
    <row r="39" spans="1:13">
      <c r="B39" t="s">
        <v>701</v>
      </c>
      <c r="C39" s="514">
        <v>286.31574648417893</v>
      </c>
      <c r="D39" s="514">
        <v>2198.978099822998</v>
      </c>
      <c r="E39" s="514">
        <v>629602.05615318299</v>
      </c>
      <c r="F39" s="514">
        <f t="shared" si="6"/>
        <v>32739306.919965517</v>
      </c>
      <c r="G39" s="514"/>
      <c r="H39" s="514" t="s">
        <v>701</v>
      </c>
      <c r="I39" s="514">
        <v>389.80888619383296</v>
      </c>
      <c r="J39" s="514">
        <v>16072.10289478302</v>
      </c>
      <c r="K39" s="514">
        <v>6265048.5282080472</v>
      </c>
      <c r="L39" s="514">
        <f t="shared" si="7"/>
        <v>325782523.46681845</v>
      </c>
      <c r="M39" s="1153">
        <f t="shared" si="8"/>
        <v>0.1004943622253576</v>
      </c>
    </row>
    <row r="40" spans="1:13">
      <c r="B40" t="s">
        <v>702</v>
      </c>
      <c r="C40" s="514">
        <v>528.63568583620668</v>
      </c>
      <c r="D40" s="514">
        <v>11255.624664306641</v>
      </c>
      <c r="E40" s="514">
        <v>5950124.863930665</v>
      </c>
      <c r="F40" s="514">
        <f t="shared" si="6"/>
        <v>309406492.92439461</v>
      </c>
      <c r="G40" s="514"/>
      <c r="H40" s="514" t="s">
        <v>702</v>
      </c>
      <c r="I40" s="514">
        <v>417.24118399659426</v>
      </c>
      <c r="J40" s="514">
        <v>66977.031158447266</v>
      </c>
      <c r="K40" s="514">
        <v>27945575.781127322</v>
      </c>
      <c r="L40" s="514">
        <f t="shared" si="7"/>
        <v>1453169940.6186209</v>
      </c>
      <c r="M40" s="1153">
        <f t="shared" si="8"/>
        <v>0.2129183134580109</v>
      </c>
    </row>
    <row r="41" spans="1:13">
      <c r="B41" s="1" t="s">
        <v>1546</v>
      </c>
      <c r="C41" s="421"/>
      <c r="D41" s="421">
        <f>+SUM(D26:D40)</f>
        <v>279099.42664337158</v>
      </c>
      <c r="E41" s="421">
        <f>+SUM(E26:E40)</f>
        <v>117075288.15866569</v>
      </c>
      <c r="F41" s="415">
        <f t="shared" si="6"/>
        <v>6087914984.2506161</v>
      </c>
      <c r="G41" s="514"/>
      <c r="H41" s="1" t="s">
        <v>1546</v>
      </c>
      <c r="I41" s="423"/>
      <c r="J41" s="423">
        <f>+SUM(J26:J40)</f>
        <v>1291089.9323339462</v>
      </c>
      <c r="K41" s="423">
        <f>+SUM(K26:K40)</f>
        <v>550033232.90383875</v>
      </c>
      <c r="L41" s="415">
        <f t="shared" si="7"/>
        <v>28601728110.999615</v>
      </c>
      <c r="M41" s="1154">
        <f t="shared" si="8"/>
        <v>0.21285129907620279</v>
      </c>
    </row>
    <row r="42" spans="1:13">
      <c r="F42" s="514"/>
      <c r="G42" s="514"/>
      <c r="H42" s="514"/>
      <c r="I42" s="514"/>
      <c r="J42" s="514"/>
      <c r="K42" s="514"/>
      <c r="L42" s="514"/>
    </row>
    <row r="43" spans="1:13">
      <c r="A43" t="s">
        <v>22</v>
      </c>
      <c r="B43" s="1" t="s">
        <v>33</v>
      </c>
      <c r="C43" s="514"/>
      <c r="D43" s="415">
        <v>839975.86687850952</v>
      </c>
      <c r="E43" s="415">
        <v>404349708.28587419</v>
      </c>
      <c r="F43" s="415">
        <f>+E43*52</f>
        <v>21026184830.865459</v>
      </c>
      <c r="H43" s="415" t="s">
        <v>33</v>
      </c>
      <c r="I43" s="514"/>
      <c r="J43" s="415">
        <v>2831916.0819654465</v>
      </c>
      <c r="K43" s="415">
        <v>1218767876.7844281</v>
      </c>
      <c r="L43" s="415">
        <f>+K43*52</f>
        <v>63375929592.79026</v>
      </c>
      <c r="M43" s="1154">
        <f>E43/K43</f>
        <v>0.33176925318437345</v>
      </c>
    </row>
    <row r="44" spans="1:13">
      <c r="D44" s="421">
        <f>+D41+D24+D12</f>
        <v>839975.86687850952</v>
      </c>
      <c r="E44" s="421">
        <f>+E41+E24+E12</f>
        <v>404349708.28587395</v>
      </c>
      <c r="J44" s="421">
        <f>+J41+J24+J12</f>
        <v>2831916.0819654465</v>
      </c>
      <c r="K44" s="421">
        <f>+K41+K24+K12</f>
        <v>1218767876.7844281</v>
      </c>
      <c r="M44" s="1153">
        <f>E44/K44</f>
        <v>0.33176925318437323</v>
      </c>
    </row>
  </sheetData>
  <mergeCells count="3">
    <mergeCell ref="P7:Q7"/>
    <mergeCell ref="P8:P13"/>
    <mergeCell ref="P15:Q15"/>
  </mergeCells>
  <pageMargins left="0.75" right="0.75" top="1" bottom="1" header="0.5" footer="0.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9FBFD"/>
  </sheetPr>
  <dimension ref="A1:F17"/>
  <sheetViews>
    <sheetView workbookViewId="0"/>
  </sheetViews>
  <sheetFormatPr defaultColWidth="8.85546875" defaultRowHeight="15"/>
  <cols>
    <col min="1" max="1" width="26.28515625" customWidth="1"/>
    <col min="2" max="2" width="14" customWidth="1"/>
    <col min="3" max="3" width="15.28515625" customWidth="1"/>
    <col min="4" max="4" width="12.28515625" customWidth="1"/>
    <col min="5" max="5" width="14" customWidth="1"/>
    <col min="12" max="13" width="14.28515625" bestFit="1" customWidth="1"/>
  </cols>
  <sheetData>
    <row r="1" spans="1:6" ht="24.75">
      <c r="A1" s="1262" t="s">
        <v>1335</v>
      </c>
      <c r="B1" s="1267"/>
      <c r="C1" s="1267"/>
      <c r="D1" s="1267"/>
      <c r="E1" s="335"/>
    </row>
    <row r="3" spans="1:6">
      <c r="A3" t="s">
        <v>1625</v>
      </c>
    </row>
    <row r="5" spans="1:6">
      <c r="A5" s="514" t="s">
        <v>1336</v>
      </c>
      <c r="B5" s="514"/>
      <c r="C5" s="514"/>
      <c r="D5" s="514"/>
      <c r="E5" s="514"/>
      <c r="F5" s="514"/>
    </row>
    <row r="6" spans="1:6" ht="45">
      <c r="A6" s="1440"/>
      <c r="B6" s="1441" t="s">
        <v>1627</v>
      </c>
      <c r="C6" s="1441" t="s">
        <v>1628</v>
      </c>
      <c r="D6" s="1237" t="s">
        <v>1626</v>
      </c>
      <c r="F6" s="514"/>
    </row>
    <row r="7" spans="1:6">
      <c r="A7" s="1443" t="s">
        <v>1695</v>
      </c>
      <c r="B7" s="1444"/>
      <c r="C7" s="1444"/>
      <c r="D7" s="1445"/>
      <c r="F7" s="514"/>
    </row>
    <row r="8" spans="1:6">
      <c r="A8" s="1435" t="s">
        <v>571</v>
      </c>
      <c r="B8" s="1442">
        <v>26747.929359436035</v>
      </c>
      <c r="C8" s="1442">
        <v>26493.60326385498</v>
      </c>
      <c r="D8" s="1241"/>
      <c r="F8" s="514"/>
    </row>
    <row r="9" spans="1:6">
      <c r="A9" s="518" t="s">
        <v>1697</v>
      </c>
      <c r="B9" s="1237">
        <v>829.25494368636407</v>
      </c>
      <c r="C9" s="1237">
        <v>219.30855575139009</v>
      </c>
      <c r="D9" s="1241"/>
      <c r="F9" s="514"/>
    </row>
    <row r="10" spans="1:6">
      <c r="A10" s="1240" t="s">
        <v>1135</v>
      </c>
      <c r="B10" s="1433">
        <f>+B9*B8</f>
        <v>22180852.654685974</v>
      </c>
      <c r="C10" s="1433">
        <f>+C9*C8</f>
        <v>5810273.8684463501</v>
      </c>
      <c r="D10" s="1434">
        <f>+B10-C10</f>
        <v>16370578.786239624</v>
      </c>
      <c r="F10" s="514"/>
    </row>
    <row r="11" spans="1:6">
      <c r="A11" s="1437" t="s">
        <v>1698</v>
      </c>
      <c r="B11" s="1438"/>
      <c r="C11" s="1438"/>
      <c r="D11" s="1439"/>
      <c r="F11" s="514"/>
    </row>
    <row r="12" spans="1:6">
      <c r="A12" s="1435" t="s">
        <v>571</v>
      </c>
      <c r="B12" s="1436">
        <v>45934.648941040039</v>
      </c>
      <c r="C12" s="1436">
        <v>45934.648941040039</v>
      </c>
      <c r="D12" s="1241"/>
      <c r="F12" s="514"/>
    </row>
    <row r="13" spans="1:6">
      <c r="A13" s="518" t="s">
        <v>1634</v>
      </c>
      <c r="B13" s="1238">
        <v>1137.2575525888633</v>
      </c>
      <c r="C13" s="1238">
        <v>314.02378904021538</v>
      </c>
      <c r="D13" s="1241"/>
      <c r="F13" s="514"/>
    </row>
    <row r="14" spans="1:6">
      <c r="A14" s="518" t="s">
        <v>1135</v>
      </c>
      <c r="B14" s="1239">
        <f>+B13*B12</f>
        <v>52239526.433715813</v>
      </c>
      <c r="C14" s="1239">
        <f>+C13*C12</f>
        <v>14424572.50869751</v>
      </c>
      <c r="D14" s="873">
        <f>+B14-C14</f>
        <v>37814953.925018303</v>
      </c>
      <c r="F14" s="514"/>
    </row>
    <row r="15" spans="1:6">
      <c r="E15" s="514"/>
      <c r="F15" s="514"/>
    </row>
    <row r="16" spans="1:6">
      <c r="F16" s="514"/>
    </row>
    <row r="17" spans="2:6">
      <c r="B17" s="421"/>
      <c r="F17" s="514"/>
    </row>
  </sheetData>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G54"/>
  <sheetViews>
    <sheetView workbookViewId="0">
      <selection activeCell="G26" sqref="G26"/>
    </sheetView>
  </sheetViews>
  <sheetFormatPr defaultColWidth="11.42578125" defaultRowHeight="12.75"/>
  <cols>
    <col min="1" max="1" width="20" style="757" customWidth="1"/>
    <col min="2" max="2" width="26.28515625" style="757" customWidth="1"/>
    <col min="3" max="3" width="13.42578125" style="757" customWidth="1"/>
    <col min="4" max="4" width="12.85546875" style="757" bestFit="1" customWidth="1"/>
    <col min="5" max="5" width="17.42578125" style="757" customWidth="1"/>
    <col min="6" max="6" width="21.28515625" style="757" customWidth="1"/>
    <col min="7" max="7" width="16.7109375" style="757" customWidth="1"/>
    <col min="8" max="8" width="15.140625" style="757" customWidth="1"/>
    <col min="9" max="9" width="11.42578125" style="757"/>
    <col min="10" max="10" width="18" style="757" customWidth="1"/>
    <col min="11" max="11" width="11.42578125" style="757"/>
    <col min="12" max="12" width="16.42578125" style="757" customWidth="1"/>
    <col min="13" max="16384" width="11.42578125" style="757"/>
  </cols>
  <sheetData>
    <row r="1" spans="1:6" ht="24.75">
      <c r="A1" s="1262" t="s">
        <v>1033</v>
      </c>
      <c r="B1" s="1285"/>
      <c r="C1" s="1285"/>
    </row>
    <row r="3" spans="1:6">
      <c r="A3" s="910"/>
    </row>
    <row r="4" spans="1:6">
      <c r="A4" s="910" t="s">
        <v>1389</v>
      </c>
    </row>
    <row r="5" spans="1:6">
      <c r="A5" s="910" t="s">
        <v>1386</v>
      </c>
      <c r="B5" s="910" t="s">
        <v>1034</v>
      </c>
      <c r="C5" s="960" t="s">
        <v>1386</v>
      </c>
    </row>
    <row r="6" spans="1:6">
      <c r="A6" s="757">
        <v>1</v>
      </c>
      <c r="B6" s="757" t="s">
        <v>1382</v>
      </c>
      <c r="C6" s="757">
        <v>15.5</v>
      </c>
      <c r="D6" s="757" t="s">
        <v>1378</v>
      </c>
    </row>
    <row r="7" spans="1:6">
      <c r="A7" s="757">
        <v>1</v>
      </c>
      <c r="B7" s="757" t="s">
        <v>1383</v>
      </c>
      <c r="C7" s="757">
        <v>29</v>
      </c>
      <c r="D7" s="757" t="s">
        <v>1378</v>
      </c>
    </row>
    <row r="8" spans="1:6">
      <c r="A8" s="757">
        <f>1/C6</f>
        <v>6.4516129032258063E-2</v>
      </c>
      <c r="B8" s="757" t="s">
        <v>1379</v>
      </c>
      <c r="C8" s="757">
        <v>1</v>
      </c>
      <c r="D8" s="757" t="s">
        <v>1378</v>
      </c>
    </row>
    <row r="9" spans="1:6">
      <c r="A9" s="757">
        <f>1/C7</f>
        <v>3.4482758620689655E-2</v>
      </c>
      <c r="B9" s="757" t="s">
        <v>1380</v>
      </c>
      <c r="C9" s="757">
        <v>1</v>
      </c>
      <c r="D9" s="757" t="s">
        <v>1378</v>
      </c>
    </row>
    <row r="10" spans="1:6">
      <c r="A10" s="757">
        <f>+woodwgt_hhold_year</f>
        <v>2506.5893692833015</v>
      </c>
      <c r="B10" s="757" t="s">
        <v>1381</v>
      </c>
      <c r="C10" s="742">
        <f>+A10*C6</f>
        <v>38852.135223891171</v>
      </c>
      <c r="D10" s="757" t="s">
        <v>1378</v>
      </c>
      <c r="E10" s="757" t="s">
        <v>1384</v>
      </c>
    </row>
    <row r="11" spans="1:6">
      <c r="A11" s="925">
        <f>+A9*C10</f>
        <v>1339.7288008238336</v>
      </c>
      <c r="B11" s="757" t="s">
        <v>1383</v>
      </c>
      <c r="C11" s="924">
        <f>+C10</f>
        <v>38852.135223891171</v>
      </c>
      <c r="D11" s="757" t="s">
        <v>1378</v>
      </c>
      <c r="E11" s="757" t="s">
        <v>1385</v>
      </c>
    </row>
    <row r="12" spans="1:6">
      <c r="A12" s="757">
        <v>1.5</v>
      </c>
      <c r="B12" s="757" t="s">
        <v>1377</v>
      </c>
      <c r="C12" s="757">
        <v>1000</v>
      </c>
      <c r="D12" s="757" t="s">
        <v>1035</v>
      </c>
      <c r="E12" s="757">
        <f>1000*C6</f>
        <v>15500</v>
      </c>
      <c r="F12" s="757" t="s">
        <v>1378</v>
      </c>
    </row>
    <row r="13" spans="1:6">
      <c r="A13" s="757">
        <v>6.67</v>
      </c>
      <c r="B13" s="757" t="s">
        <v>1377</v>
      </c>
      <c r="C13" s="757">
        <v>1000</v>
      </c>
      <c r="D13" s="757" t="s">
        <v>1036</v>
      </c>
      <c r="E13" s="757">
        <f>1000*C7</f>
        <v>29000</v>
      </c>
      <c r="F13" s="757" t="s">
        <v>1378</v>
      </c>
    </row>
    <row r="14" spans="1:6">
      <c r="A14" s="948"/>
      <c r="B14" s="961"/>
      <c r="C14" s="961"/>
      <c r="D14" s="947"/>
      <c r="E14" s="947"/>
    </row>
    <row r="15" spans="1:6">
      <c r="A15" s="973"/>
      <c r="B15" s="958"/>
      <c r="C15" s="958"/>
      <c r="D15" s="947"/>
      <c r="E15" s="947"/>
    </row>
    <row r="16" spans="1:6">
      <c r="A16" s="948"/>
      <c r="B16" s="958"/>
      <c r="C16" s="958"/>
      <c r="D16" s="947"/>
      <c r="E16" s="947"/>
    </row>
    <row r="17" spans="1:5">
      <c r="A17" s="974" t="s">
        <v>1390</v>
      </c>
      <c r="D17" s="947"/>
      <c r="E17" s="947"/>
    </row>
    <row r="18" spans="1:5">
      <c r="A18" s="1032" t="s">
        <v>1405</v>
      </c>
      <c r="D18" s="962">
        <f>+A12/A13</f>
        <v>0.22488755622188905</v>
      </c>
    </row>
    <row r="19" spans="1:5">
      <c r="A19" s="971" t="s">
        <v>1037</v>
      </c>
      <c r="E19" s="958"/>
    </row>
    <row r="20" spans="1:5">
      <c r="A20" s="971" t="s">
        <v>1387</v>
      </c>
      <c r="D20" s="972">
        <f>+A8</f>
        <v>6.4516129032258063E-2</v>
      </c>
    </row>
    <row r="21" spans="1:5">
      <c r="A21" s="971" t="s">
        <v>1388</v>
      </c>
      <c r="D21" s="972">
        <f>+A9</f>
        <v>3.4482758620689655E-2</v>
      </c>
    </row>
    <row r="22" spans="1:5">
      <c r="A22" s="971" t="s">
        <v>1038</v>
      </c>
      <c r="D22" s="972">
        <f>+A13*kg_per_m3_wood/1000</f>
        <v>4.1883153333333327</v>
      </c>
    </row>
    <row r="23" spans="1:5">
      <c r="A23" s="971" t="s">
        <v>1039</v>
      </c>
      <c r="D23" s="972">
        <f>+D22*D21</f>
        <v>0.14442466666666665</v>
      </c>
    </row>
    <row r="24" spans="1:5">
      <c r="A24" s="971"/>
    </row>
    <row r="25" spans="1:5">
      <c r="A25" s="971" t="s">
        <v>1040</v>
      </c>
      <c r="D25" s="778">
        <f>+woodwgt_hhold_year*C6</f>
        <v>38852.135223891171</v>
      </c>
    </row>
    <row r="26" spans="1:5">
      <c r="A26" s="971" t="s">
        <v>1042</v>
      </c>
      <c r="D26" s="778">
        <f>+woodwgt_hhold_year</f>
        <v>2506.5893692833015</v>
      </c>
    </row>
    <row r="27" spans="1:5">
      <c r="A27" s="971" t="s">
        <v>1045</v>
      </c>
      <c r="D27" s="778">
        <f>+A11</f>
        <v>1339.7288008238336</v>
      </c>
    </row>
    <row r="28" spans="1:5">
      <c r="A28" s="971" t="s">
        <v>1041</v>
      </c>
      <c r="D28" s="778">
        <f>+D27*D22</f>
        <v>5611.2066789987402</v>
      </c>
    </row>
    <row r="29" spans="1:5">
      <c r="A29" s="971" t="s">
        <v>1043</v>
      </c>
      <c r="D29" s="975">
        <f>+D28/kg_per_m3_wood</f>
        <v>8.9359911014949684</v>
      </c>
    </row>
    <row r="30" spans="1:5">
      <c r="A30" s="971"/>
    </row>
    <row r="31" spans="1:5">
      <c r="A31" s="757" t="s">
        <v>1391</v>
      </c>
      <c r="D31" s="742">
        <f>+'Hhold wood use for energy'!N14</f>
        <v>272406</v>
      </c>
    </row>
    <row r="32" spans="1:5">
      <c r="A32" s="172" t="s">
        <v>1406</v>
      </c>
      <c r="D32" s="742">
        <f>+D31*charcoalvol_hhold_year</f>
        <v>2434217.5919938385</v>
      </c>
    </row>
    <row r="35" spans="4:7">
      <c r="D35" s="969"/>
    </row>
    <row r="36" spans="4:7">
      <c r="G36" s="963"/>
    </row>
    <row r="39" spans="4:7">
      <c r="G39" s="958"/>
    </row>
    <row r="40" spans="4:7">
      <c r="G40" s="994"/>
    </row>
    <row r="41" spans="4:7">
      <c r="G41" s="994"/>
    </row>
    <row r="42" spans="4:7">
      <c r="G42" s="994"/>
    </row>
    <row r="43" spans="4:7">
      <c r="G43" s="994"/>
    </row>
    <row r="44" spans="4:7">
      <c r="G44" s="994"/>
    </row>
    <row r="45" spans="4:7">
      <c r="G45" s="994"/>
    </row>
    <row r="46" spans="4:7">
      <c r="G46" s="994"/>
    </row>
    <row r="47" spans="4:7">
      <c r="G47" s="994"/>
    </row>
    <row r="48" spans="4:7">
      <c r="G48" s="994"/>
    </row>
    <row r="49" spans="7:7">
      <c r="G49" s="994"/>
    </row>
    <row r="50" spans="7:7">
      <c r="G50" s="994"/>
    </row>
    <row r="51" spans="7:7">
      <c r="G51" s="994"/>
    </row>
    <row r="52" spans="7:7">
      <c r="G52" s="958"/>
    </row>
    <row r="53" spans="7:7">
      <c r="G53" s="958"/>
    </row>
    <row r="54" spans="7:7">
      <c r="G54" s="958"/>
    </row>
  </sheetData>
  <pageMargins left="0.75" right="0.75" top="1" bottom="1" header="0.5" footer="0.5"/>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N53"/>
  <sheetViews>
    <sheetView workbookViewId="0"/>
  </sheetViews>
  <sheetFormatPr defaultColWidth="8.85546875" defaultRowHeight="14.25"/>
  <cols>
    <col min="1" max="1" width="20" style="951" customWidth="1"/>
    <col min="2" max="2" width="20.42578125" style="951" customWidth="1"/>
    <col min="3" max="3" width="12.140625" style="951" bestFit="1" customWidth="1"/>
    <col min="4" max="5" width="9.28515625" style="951" bestFit="1" customWidth="1"/>
    <col min="6" max="6" width="11.42578125" style="951" customWidth="1"/>
    <col min="7" max="8" width="8.85546875" style="951"/>
    <col min="9" max="9" width="44" style="951" bestFit="1" customWidth="1"/>
    <col min="10" max="11" width="12" style="951" bestFit="1" customWidth="1"/>
    <col min="12" max="12" width="13.42578125" style="951" bestFit="1" customWidth="1"/>
    <col min="13" max="16384" width="8.85546875" style="951"/>
  </cols>
  <sheetData>
    <row r="1" spans="1:14" ht="24.75">
      <c r="A1" s="1262" t="s">
        <v>1403</v>
      </c>
      <c r="B1" s="1266"/>
      <c r="C1" s="1266"/>
      <c r="D1" s="1286"/>
    </row>
    <row r="3" spans="1:14">
      <c r="A3" s="1021" t="s">
        <v>1402</v>
      </c>
      <c r="B3" s="1021"/>
      <c r="C3" s="1021"/>
      <c r="D3" s="1021"/>
      <c r="E3" s="1021"/>
      <c r="F3" s="1021"/>
      <c r="G3" s="970"/>
      <c r="H3" s="970"/>
    </row>
    <row r="4" spans="1:14" ht="15" thickBot="1"/>
    <row r="5" spans="1:14">
      <c r="A5" s="1026" t="s">
        <v>1098</v>
      </c>
      <c r="B5" s="1027" t="s">
        <v>599</v>
      </c>
      <c r="C5" s="938"/>
      <c r="D5" s="938"/>
      <c r="E5" s="938"/>
      <c r="F5" s="1028"/>
      <c r="G5" s="757"/>
      <c r="H5" s="757"/>
      <c r="I5" s="998" t="s">
        <v>1394</v>
      </c>
      <c r="J5" s="956"/>
      <c r="K5" s="956"/>
      <c r="L5" s="957"/>
      <c r="M5" s="757"/>
      <c r="N5" s="757"/>
    </row>
    <row r="6" spans="1:14" ht="42.95" customHeight="1" thickBot="1">
      <c r="A6" s="1734" t="s">
        <v>1404</v>
      </c>
      <c r="B6" s="1735"/>
      <c r="C6" s="1735"/>
      <c r="D6" s="1735"/>
      <c r="E6" s="1735"/>
      <c r="F6" s="1736"/>
      <c r="G6" s="757"/>
      <c r="H6" s="757"/>
      <c r="I6" s="946" t="s">
        <v>1392</v>
      </c>
      <c r="J6" s="958"/>
      <c r="K6" s="958"/>
      <c r="L6" s="959"/>
      <c r="M6" s="757"/>
      <c r="N6" s="757"/>
    </row>
    <row r="7" spans="1:14" ht="26.25" thickBot="1">
      <c r="A7" s="1022" t="s">
        <v>104</v>
      </c>
      <c r="B7" s="1023"/>
      <c r="C7" s="1024" t="s">
        <v>573</v>
      </c>
      <c r="D7" s="1024" t="s">
        <v>574</v>
      </c>
      <c r="E7" s="1024" t="s">
        <v>575</v>
      </c>
      <c r="F7" s="1025" t="s">
        <v>576</v>
      </c>
      <c r="G7" s="757"/>
      <c r="H7" s="757"/>
      <c r="I7" s="584" t="s">
        <v>1393</v>
      </c>
      <c r="J7" s="999" t="s">
        <v>596</v>
      </c>
      <c r="K7" s="999" t="s">
        <v>593</v>
      </c>
      <c r="L7" s="1000" t="s">
        <v>597</v>
      </c>
      <c r="M7" s="757"/>
      <c r="N7" s="757"/>
    </row>
    <row r="8" spans="1:14" ht="15" thickBot="1">
      <c r="A8" s="1029" t="s">
        <v>577</v>
      </c>
      <c r="B8" s="1001" t="s">
        <v>578</v>
      </c>
      <c r="C8" s="1002">
        <v>2370364</v>
      </c>
      <c r="D8" s="1003">
        <v>77.099999999999994</v>
      </c>
      <c r="E8" s="1003">
        <v>77.099999999999994</v>
      </c>
      <c r="F8" s="1004">
        <v>77.099999999999994</v>
      </c>
      <c r="G8" s="757"/>
      <c r="H8" s="757"/>
      <c r="I8" s="946" t="s">
        <v>583</v>
      </c>
      <c r="J8" s="1005">
        <v>179.77072820843082</v>
      </c>
      <c r="K8" s="1006">
        <v>724.826416015625</v>
      </c>
      <c r="L8" s="856">
        <v>110.63987768458591</v>
      </c>
      <c r="M8" s="757"/>
      <c r="N8" s="757"/>
    </row>
    <row r="9" spans="1:14">
      <c r="A9" s="1030"/>
      <c r="B9" s="1007" t="s">
        <v>579</v>
      </c>
      <c r="C9" s="1002">
        <v>323078</v>
      </c>
      <c r="D9" s="1003">
        <v>10.5</v>
      </c>
      <c r="E9" s="1003">
        <v>10.5</v>
      </c>
      <c r="F9" s="1004">
        <v>87.7</v>
      </c>
      <c r="G9" s="757"/>
      <c r="H9" s="757"/>
      <c r="I9" s="1713" t="s">
        <v>1397</v>
      </c>
      <c r="J9" s="1726"/>
      <c r="K9" s="1726"/>
      <c r="L9" s="1727"/>
      <c r="M9" s="757"/>
      <c r="N9" s="757"/>
    </row>
    <row r="10" spans="1:14" ht="15" thickBot="1">
      <c r="A10" s="1030"/>
      <c r="B10" s="1008" t="s">
        <v>580</v>
      </c>
      <c r="C10" s="1003">
        <v>2249</v>
      </c>
      <c r="D10" s="1003">
        <v>0.1</v>
      </c>
      <c r="E10" s="1003">
        <v>0.1</v>
      </c>
      <c r="F10" s="1004">
        <v>87.7</v>
      </c>
      <c r="G10" s="757"/>
      <c r="H10" s="757"/>
      <c r="I10" s="584" t="s">
        <v>1398</v>
      </c>
      <c r="J10" s="999"/>
      <c r="K10" s="999"/>
      <c r="L10" s="1000"/>
      <c r="M10" s="757"/>
      <c r="N10" s="757"/>
    </row>
    <row r="11" spans="1:14">
      <c r="A11" s="1030"/>
      <c r="B11" s="1007" t="s">
        <v>581</v>
      </c>
      <c r="C11" s="1002">
        <v>75323</v>
      </c>
      <c r="D11" s="1003">
        <v>2.5</v>
      </c>
      <c r="E11" s="1003">
        <v>2.5</v>
      </c>
      <c r="F11" s="1004">
        <v>90.2</v>
      </c>
      <c r="G11" s="757"/>
      <c r="H11" s="757"/>
      <c r="I11" s="757"/>
      <c r="J11" s="757"/>
      <c r="K11" s="757"/>
      <c r="L11" s="757"/>
      <c r="M11" s="757"/>
      <c r="N11" s="757"/>
    </row>
    <row r="12" spans="1:14">
      <c r="A12" s="1030"/>
      <c r="B12" s="1008" t="s">
        <v>582</v>
      </c>
      <c r="C12" s="1003">
        <v>2058</v>
      </c>
      <c r="D12" s="1003">
        <v>0.1</v>
      </c>
      <c r="E12" s="1003">
        <v>0.1</v>
      </c>
      <c r="F12" s="1004">
        <v>90.3</v>
      </c>
      <c r="G12" s="757"/>
      <c r="H12" s="757"/>
      <c r="I12" s="757"/>
      <c r="J12" s="757"/>
      <c r="K12" s="757"/>
      <c r="L12" s="757"/>
      <c r="M12" s="757"/>
      <c r="N12" s="757"/>
    </row>
    <row r="13" spans="1:14" ht="15" thickBot="1">
      <c r="A13" s="1030"/>
      <c r="B13" s="1009" t="s">
        <v>583</v>
      </c>
      <c r="C13" s="1010">
        <v>272406</v>
      </c>
      <c r="D13" s="1003">
        <v>8.9</v>
      </c>
      <c r="E13" s="1003">
        <v>8.9</v>
      </c>
      <c r="F13" s="1004">
        <v>99.1</v>
      </c>
      <c r="G13" s="757"/>
      <c r="H13" s="757"/>
      <c r="I13" s="757"/>
      <c r="J13" s="757"/>
      <c r="K13" s="757"/>
      <c r="L13" s="757"/>
      <c r="M13" s="757"/>
      <c r="N13" s="757"/>
    </row>
    <row r="14" spans="1:14" ht="15" thickBot="1">
      <c r="A14" s="1030"/>
      <c r="B14" s="1008" t="s">
        <v>584</v>
      </c>
      <c r="C14" s="1003">
        <v>24235</v>
      </c>
      <c r="D14" s="1003">
        <v>0.8</v>
      </c>
      <c r="E14" s="1003">
        <v>0.8</v>
      </c>
      <c r="F14" s="1004">
        <v>99.9</v>
      </c>
      <c r="G14" s="757"/>
      <c r="H14" s="757"/>
      <c r="I14" s="1011" t="s">
        <v>1396</v>
      </c>
      <c r="J14" s="1012"/>
      <c r="K14" s="1012"/>
      <c r="L14" s="1013"/>
      <c r="M14" s="757"/>
      <c r="N14" s="757"/>
    </row>
    <row r="15" spans="1:14">
      <c r="A15" s="1030"/>
      <c r="B15" s="1008" t="s">
        <v>585</v>
      </c>
      <c r="C15" s="1003">
        <v>936</v>
      </c>
      <c r="D15" s="1003">
        <v>0</v>
      </c>
      <c r="E15" s="1003">
        <v>0</v>
      </c>
      <c r="F15" s="1004">
        <v>99.9</v>
      </c>
      <c r="G15" s="757"/>
      <c r="H15" s="757"/>
      <c r="I15" s="955" t="s">
        <v>1392</v>
      </c>
      <c r="J15" s="939"/>
      <c r="K15" s="939"/>
      <c r="L15" s="1014"/>
      <c r="M15" s="757"/>
      <c r="N15" s="757"/>
    </row>
    <row r="16" spans="1:14">
      <c r="A16" s="1030"/>
      <c r="B16" s="1008" t="s">
        <v>586</v>
      </c>
      <c r="C16" s="1003">
        <v>144</v>
      </c>
      <c r="D16" s="1003">
        <v>0</v>
      </c>
      <c r="E16" s="1003">
        <v>0</v>
      </c>
      <c r="F16" s="1004">
        <v>99.9</v>
      </c>
      <c r="G16" s="757"/>
      <c r="H16" s="757"/>
      <c r="I16" s="946" t="s">
        <v>1393</v>
      </c>
      <c r="J16" s="855" t="s">
        <v>596</v>
      </c>
      <c r="K16" s="855" t="s">
        <v>593</v>
      </c>
      <c r="L16" s="856" t="s">
        <v>597</v>
      </c>
      <c r="M16" s="757"/>
      <c r="N16" s="757"/>
    </row>
    <row r="17" spans="1:14" ht="15" thickBot="1">
      <c r="A17" s="1030"/>
      <c r="B17" s="1008" t="s">
        <v>587</v>
      </c>
      <c r="C17" s="1003">
        <v>908</v>
      </c>
      <c r="D17" s="1003">
        <v>0</v>
      </c>
      <c r="E17" s="1003">
        <v>0</v>
      </c>
      <c r="F17" s="1004">
        <v>100</v>
      </c>
      <c r="G17" s="757"/>
      <c r="H17" s="757"/>
      <c r="I17" s="584" t="s">
        <v>583</v>
      </c>
      <c r="J17" s="1015">
        <v>1211.1600019557561</v>
      </c>
      <c r="K17" s="1016">
        <v>221.88859558105469</v>
      </c>
      <c r="L17" s="1017">
        <v>454.2481545771081</v>
      </c>
      <c r="M17" s="757"/>
      <c r="N17" s="757"/>
    </row>
    <row r="18" spans="1:14">
      <c r="A18" s="1030"/>
      <c r="B18" s="1008">
        <v>14</v>
      </c>
      <c r="C18" s="1003">
        <v>823</v>
      </c>
      <c r="D18" s="1003">
        <v>0</v>
      </c>
      <c r="E18" s="1003">
        <v>0</v>
      </c>
      <c r="F18" s="1004">
        <v>100</v>
      </c>
      <c r="G18" s="757"/>
      <c r="H18" s="757"/>
      <c r="I18" s="1713" t="s">
        <v>1399</v>
      </c>
      <c r="J18" s="1726"/>
      <c r="K18" s="1726"/>
      <c r="L18" s="1727"/>
      <c r="M18" s="757"/>
      <c r="N18" s="757"/>
    </row>
    <row r="19" spans="1:14" ht="15" thickBot="1">
      <c r="A19" s="1031"/>
      <c r="B19" s="1018" t="s">
        <v>33</v>
      </c>
      <c r="C19" s="1019">
        <v>3072525</v>
      </c>
      <c r="D19" s="1019">
        <v>100</v>
      </c>
      <c r="E19" s="1019">
        <v>100</v>
      </c>
      <c r="F19" s="1020" t="s">
        <v>104</v>
      </c>
      <c r="G19" s="757"/>
      <c r="H19" s="757"/>
      <c r="I19" s="1728"/>
      <c r="J19" s="1729"/>
      <c r="K19" s="1729"/>
      <c r="L19" s="1730"/>
      <c r="M19" s="757"/>
      <c r="N19" s="757"/>
    </row>
    <row r="20" spans="1:14" ht="27.75" customHeight="1">
      <c r="A20" s="757"/>
      <c r="B20" s="757"/>
      <c r="C20" s="757"/>
      <c r="D20" s="757"/>
      <c r="E20" s="757"/>
      <c r="F20" s="757"/>
      <c r="G20" s="757"/>
      <c r="H20" s="757"/>
      <c r="I20" s="1728"/>
      <c r="J20" s="1729"/>
      <c r="K20" s="1729"/>
      <c r="L20" s="1730"/>
      <c r="M20" s="757"/>
      <c r="N20" s="757"/>
    </row>
    <row r="21" spans="1:14">
      <c r="A21" s="757"/>
      <c r="B21" s="757"/>
      <c r="C21" s="757"/>
      <c r="D21" s="757"/>
      <c r="E21" s="757"/>
      <c r="F21" s="757"/>
      <c r="G21" s="757"/>
      <c r="H21" s="757"/>
      <c r="I21" s="1728" t="s">
        <v>1400</v>
      </c>
      <c r="J21" s="1729"/>
      <c r="K21" s="1729"/>
      <c r="L21" s="1730"/>
      <c r="M21" s="757"/>
      <c r="N21" s="757"/>
    </row>
    <row r="22" spans="1:14">
      <c r="A22" s="964" t="s">
        <v>1089</v>
      </c>
      <c r="B22" s="965"/>
      <c r="C22" s="965"/>
      <c r="D22" s="965"/>
      <c r="E22" s="965"/>
      <c r="F22" s="965"/>
      <c r="G22" s="757"/>
      <c r="H22" s="757"/>
      <c r="I22" s="1728"/>
      <c r="J22" s="1729"/>
      <c r="K22" s="1729"/>
      <c r="L22" s="1730"/>
      <c r="M22" s="757"/>
      <c r="N22" s="757"/>
    </row>
    <row r="23" spans="1:14" ht="25.5">
      <c r="A23" s="966" t="s">
        <v>104</v>
      </c>
      <c r="B23" s="967" t="s">
        <v>104</v>
      </c>
      <c r="C23" s="997" t="s">
        <v>573</v>
      </c>
      <c r="D23" s="997" t="s">
        <v>574</v>
      </c>
      <c r="E23" s="997" t="s">
        <v>575</v>
      </c>
      <c r="F23" s="997" t="s">
        <v>576</v>
      </c>
      <c r="G23" s="757"/>
      <c r="H23" s="757"/>
      <c r="I23" s="1728"/>
      <c r="J23" s="1729"/>
      <c r="K23" s="1729"/>
      <c r="L23" s="1730"/>
      <c r="M23" s="757"/>
      <c r="N23" s="757"/>
    </row>
    <row r="24" spans="1:14" ht="15" thickBot="1">
      <c r="A24" s="966" t="s">
        <v>577</v>
      </c>
      <c r="B24" s="967">
        <v>0</v>
      </c>
      <c r="C24" s="968">
        <v>242.9344025</v>
      </c>
      <c r="D24" s="967">
        <v>7.9066699999999993E-3</v>
      </c>
      <c r="E24" s="967">
        <v>0.111316359</v>
      </c>
      <c r="F24" s="967">
        <v>0.111316359</v>
      </c>
      <c r="G24" s="757"/>
      <c r="H24" s="757"/>
      <c r="I24" s="1731"/>
      <c r="J24" s="1732"/>
      <c r="K24" s="1732"/>
      <c r="L24" s="1733"/>
      <c r="M24" s="757"/>
      <c r="N24" s="757"/>
    </row>
    <row r="25" spans="1:14">
      <c r="A25" s="966"/>
      <c r="B25" s="995" t="s">
        <v>583</v>
      </c>
      <c r="C25" s="996">
        <v>162545.75839999999</v>
      </c>
      <c r="D25" s="967">
        <v>5.2902990509999999</v>
      </c>
      <c r="E25" s="967">
        <v>74.481019380000006</v>
      </c>
      <c r="F25" s="967">
        <v>74.592335739999996</v>
      </c>
      <c r="G25" s="757"/>
      <c r="H25" s="757"/>
      <c r="I25" s="757"/>
      <c r="J25" s="757"/>
      <c r="K25" s="757"/>
      <c r="L25" s="757"/>
      <c r="M25" s="757"/>
      <c r="N25" s="757"/>
    </row>
    <row r="26" spans="1:14">
      <c r="A26" s="966"/>
      <c r="B26" s="967" t="s">
        <v>1090</v>
      </c>
      <c r="C26" s="968">
        <v>48094.001819999998</v>
      </c>
      <c r="D26" s="967">
        <v>1.565292473</v>
      </c>
      <c r="E26" s="967">
        <v>22.03742699</v>
      </c>
      <c r="F26" s="967">
        <v>96.629762729999996</v>
      </c>
      <c r="G26" s="757"/>
      <c r="H26" s="757"/>
      <c r="I26" s="757"/>
      <c r="J26" s="757"/>
      <c r="K26" s="757"/>
      <c r="L26" s="757"/>
      <c r="M26" s="757"/>
      <c r="N26" s="757"/>
    </row>
    <row r="27" spans="1:14" ht="15" thickBot="1">
      <c r="A27" s="966"/>
      <c r="B27" s="967" t="s">
        <v>582</v>
      </c>
      <c r="C27" s="968">
        <v>1681.173798</v>
      </c>
      <c r="D27" s="967">
        <v>5.4716358999999999E-2</v>
      </c>
      <c r="E27" s="967">
        <v>0.77034023799999995</v>
      </c>
      <c r="F27" s="967">
        <v>97.400102970000006</v>
      </c>
      <c r="G27" s="757"/>
      <c r="H27" s="757"/>
      <c r="I27" s="757"/>
      <c r="J27" s="757"/>
      <c r="K27" s="757"/>
      <c r="L27" s="757"/>
      <c r="M27" s="757"/>
      <c r="N27" s="757"/>
    </row>
    <row r="28" spans="1:14" ht="15" thickBot="1">
      <c r="A28" s="966"/>
      <c r="B28" s="967" t="s">
        <v>580</v>
      </c>
      <c r="C28" s="968">
        <v>3495.757404</v>
      </c>
      <c r="D28" s="967">
        <v>0.113774744</v>
      </c>
      <c r="E28" s="967">
        <v>1.6018109460000001</v>
      </c>
      <c r="F28" s="967">
        <v>99.001913909999999</v>
      </c>
      <c r="G28" s="757"/>
      <c r="H28" s="757"/>
      <c r="I28" s="1011" t="s">
        <v>1395</v>
      </c>
      <c r="J28" s="1012"/>
      <c r="K28" s="1012"/>
      <c r="L28" s="1013"/>
      <c r="M28" s="757"/>
      <c r="N28" s="757"/>
    </row>
    <row r="29" spans="1:14">
      <c r="A29" s="966"/>
      <c r="B29" s="967" t="s">
        <v>1091</v>
      </c>
      <c r="C29" s="968">
        <v>2178.2013929999998</v>
      </c>
      <c r="D29" s="967">
        <v>7.0892879000000006E-2</v>
      </c>
      <c r="E29" s="967">
        <v>0.99808608899999995</v>
      </c>
      <c r="F29" s="967">
        <v>100</v>
      </c>
      <c r="G29" s="757"/>
      <c r="H29" s="757"/>
      <c r="I29" s="946" t="s">
        <v>1392</v>
      </c>
      <c r="J29" s="855"/>
      <c r="K29" s="855"/>
      <c r="L29" s="856"/>
      <c r="M29" s="757"/>
      <c r="N29" s="757"/>
    </row>
    <row r="30" spans="1:14">
      <c r="A30" s="966"/>
      <c r="B30" s="967" t="s">
        <v>33</v>
      </c>
      <c r="C30" s="968">
        <v>218237.8272</v>
      </c>
      <c r="D30" s="967">
        <v>7.1028821759999996</v>
      </c>
      <c r="E30" s="967">
        <v>100</v>
      </c>
      <c r="F30" s="967"/>
      <c r="G30" s="757"/>
      <c r="H30" s="757"/>
      <c r="I30" s="946" t="s">
        <v>1393</v>
      </c>
      <c r="J30" s="855" t="s">
        <v>596</v>
      </c>
      <c r="K30" s="855" t="s">
        <v>593</v>
      </c>
      <c r="L30" s="856" t="s">
        <v>597</v>
      </c>
      <c r="M30" s="757"/>
      <c r="N30" s="757"/>
    </row>
    <row r="31" spans="1:14" ht="15" thickBot="1">
      <c r="A31" s="966" t="s">
        <v>590</v>
      </c>
      <c r="B31" s="967" t="s">
        <v>591</v>
      </c>
      <c r="C31" s="968">
        <v>2854287.125</v>
      </c>
      <c r="D31" s="967">
        <v>92.897117820000005</v>
      </c>
      <c r="E31" s="967"/>
      <c r="F31" s="967"/>
      <c r="G31" s="757"/>
      <c r="H31" s="757"/>
      <c r="I31" s="946" t="s">
        <v>583</v>
      </c>
      <c r="J31" s="1005">
        <v>433.47673922251107</v>
      </c>
      <c r="K31" s="1006">
        <v>9543.8557586669922</v>
      </c>
      <c r="L31" s="856">
        <v>255.18673871490955</v>
      </c>
      <c r="M31" s="757"/>
      <c r="N31" s="757"/>
    </row>
    <row r="32" spans="1:14">
      <c r="A32" s="966" t="s">
        <v>33</v>
      </c>
      <c r="B32" s="967"/>
      <c r="C32" s="968">
        <v>3072524.952</v>
      </c>
      <c r="D32" s="967">
        <v>100</v>
      </c>
      <c r="E32" s="967"/>
      <c r="F32" s="967"/>
      <c r="G32" s="757"/>
      <c r="H32" s="757"/>
      <c r="I32" s="1713" t="s">
        <v>1401</v>
      </c>
      <c r="J32" s="1726"/>
      <c r="K32" s="1726"/>
      <c r="L32" s="1727"/>
      <c r="M32" s="757"/>
      <c r="N32" s="757"/>
    </row>
    <row r="33" spans="1:14">
      <c r="A33" s="966"/>
      <c r="B33" s="967"/>
      <c r="C33" s="967"/>
      <c r="D33" s="967"/>
      <c r="E33" s="967"/>
      <c r="F33" s="967"/>
      <c r="G33" s="757"/>
      <c r="H33" s="757"/>
      <c r="I33" s="1728"/>
      <c r="J33" s="1729"/>
      <c r="K33" s="1729"/>
      <c r="L33" s="1730"/>
      <c r="M33" s="757"/>
      <c r="N33" s="757"/>
    </row>
    <row r="34" spans="1:14">
      <c r="A34" s="757"/>
      <c r="B34" s="757"/>
      <c r="C34" s="757"/>
      <c r="D34" s="757"/>
      <c r="E34" s="757"/>
      <c r="F34" s="757"/>
      <c r="G34" s="757"/>
      <c r="H34" s="757"/>
      <c r="I34" s="1728"/>
      <c r="J34" s="1729"/>
      <c r="K34" s="1729"/>
      <c r="L34" s="1730"/>
      <c r="M34" s="757"/>
      <c r="N34" s="757"/>
    </row>
    <row r="35" spans="1:14">
      <c r="A35" s="757"/>
      <c r="B35" s="757"/>
      <c r="C35" s="757"/>
      <c r="D35" s="757"/>
      <c r="E35" s="757"/>
      <c r="F35" s="757"/>
      <c r="G35" s="757"/>
      <c r="H35" s="757"/>
      <c r="I35" s="1728"/>
      <c r="J35" s="1729"/>
      <c r="K35" s="1729"/>
      <c r="L35" s="1730"/>
      <c r="M35" s="757"/>
      <c r="N35" s="757"/>
    </row>
    <row r="36" spans="1:14">
      <c r="I36" s="1728"/>
      <c r="J36" s="1729"/>
      <c r="K36" s="1729"/>
      <c r="L36" s="1730"/>
      <c r="M36" s="757"/>
      <c r="N36" s="757"/>
    </row>
    <row r="37" spans="1:14" ht="15" thickBot="1">
      <c r="A37" s="757"/>
      <c r="B37" s="757"/>
      <c r="C37" s="757"/>
      <c r="D37" s="757"/>
      <c r="E37" s="757"/>
      <c r="F37" s="757"/>
      <c r="G37" s="757"/>
      <c r="H37" s="757"/>
      <c r="I37" s="1731"/>
      <c r="J37" s="1732"/>
      <c r="K37" s="1732"/>
      <c r="L37" s="1733"/>
      <c r="M37" s="757"/>
      <c r="N37" s="757"/>
    </row>
    <row r="38" spans="1:14">
      <c r="A38" s="757"/>
      <c r="B38" s="757"/>
      <c r="C38" s="757"/>
      <c r="D38" s="757"/>
      <c r="E38" s="757"/>
      <c r="F38" s="757"/>
      <c r="G38" s="757"/>
      <c r="H38" s="757"/>
      <c r="I38" s="757"/>
      <c r="J38" s="757"/>
      <c r="K38" s="757"/>
      <c r="L38" s="757"/>
      <c r="M38" s="757"/>
      <c r="N38" s="757"/>
    </row>
    <row r="39" spans="1:14">
      <c r="A39" s="757"/>
      <c r="B39" s="757"/>
      <c r="C39" s="757"/>
      <c r="D39" s="757"/>
      <c r="E39" s="757"/>
      <c r="F39" s="757"/>
      <c r="G39" s="757"/>
      <c r="H39" s="757"/>
      <c r="I39" s="757"/>
      <c r="J39" s="757"/>
      <c r="K39" s="757"/>
      <c r="L39" s="757"/>
      <c r="M39" s="757"/>
      <c r="N39" s="757"/>
    </row>
    <row r="40" spans="1:14">
      <c r="A40" s="757"/>
      <c r="B40" s="757"/>
      <c r="C40" s="757"/>
      <c r="D40" s="757"/>
      <c r="E40" s="757"/>
      <c r="F40" s="757"/>
      <c r="G40" s="757"/>
      <c r="H40" s="757"/>
      <c r="I40" s="757"/>
      <c r="J40" s="757"/>
      <c r="K40" s="757"/>
      <c r="L40" s="757"/>
      <c r="M40" s="757"/>
      <c r="N40" s="757"/>
    </row>
    <row r="41" spans="1:14">
      <c r="A41" s="757"/>
      <c r="B41" s="757"/>
      <c r="C41" s="757"/>
      <c r="D41" s="757"/>
      <c r="E41" s="757"/>
      <c r="F41" s="757"/>
      <c r="G41" s="757"/>
      <c r="H41" s="757"/>
      <c r="I41" s="757"/>
      <c r="J41" s="757"/>
      <c r="K41" s="757"/>
      <c r="L41" s="757"/>
      <c r="M41" s="757"/>
      <c r="N41" s="757"/>
    </row>
    <row r="42" spans="1:14">
      <c r="A42" s="757"/>
      <c r="B42" s="757"/>
      <c r="C42" s="757"/>
      <c r="D42" s="757"/>
      <c r="E42" s="757"/>
      <c r="F42" s="757"/>
      <c r="G42" s="757"/>
      <c r="H42" s="757"/>
      <c r="I42" s="757"/>
      <c r="J42" s="757"/>
      <c r="K42" s="757"/>
      <c r="L42" s="757"/>
      <c r="M42" s="757"/>
      <c r="N42" s="757"/>
    </row>
    <row r="43" spans="1:14">
      <c r="A43" s="757"/>
      <c r="B43" s="757"/>
      <c r="C43" s="757"/>
      <c r="D43" s="757"/>
      <c r="E43" s="757"/>
      <c r="F43" s="757"/>
      <c r="G43" s="757"/>
      <c r="H43" s="757"/>
      <c r="I43" s="757"/>
      <c r="J43" s="757"/>
      <c r="K43" s="757"/>
      <c r="L43" s="757"/>
      <c r="M43" s="757"/>
      <c r="N43" s="757"/>
    </row>
    <row r="44" spans="1:14">
      <c r="A44" s="757"/>
      <c r="B44" s="757"/>
      <c r="C44" s="757"/>
      <c r="D44" s="757"/>
      <c r="E44" s="757"/>
      <c r="F44" s="757"/>
      <c r="G44" s="757"/>
      <c r="H44" s="757"/>
      <c r="I44" s="757"/>
      <c r="J44" s="742"/>
      <c r="K44" s="742"/>
      <c r="L44" s="742"/>
      <c r="M44" s="757"/>
      <c r="N44" s="757"/>
    </row>
    <row r="45" spans="1:14">
      <c r="A45" s="757"/>
      <c r="B45" s="757"/>
      <c r="C45" s="757"/>
      <c r="D45" s="757"/>
      <c r="E45" s="757"/>
      <c r="F45" s="757"/>
      <c r="G45" s="757"/>
      <c r="H45" s="757"/>
      <c r="I45" s="757"/>
      <c r="J45" s="742"/>
      <c r="K45" s="742"/>
      <c r="L45" s="742"/>
      <c r="M45" s="757"/>
      <c r="N45" s="757"/>
    </row>
    <row r="46" spans="1:14">
      <c r="A46" s="757"/>
      <c r="B46" s="757"/>
      <c r="C46" s="757"/>
      <c r="D46" s="757"/>
      <c r="E46" s="757"/>
      <c r="F46" s="757"/>
      <c r="G46" s="757"/>
      <c r="H46" s="757"/>
      <c r="I46" s="757"/>
      <c r="J46" s="742"/>
      <c r="K46" s="742"/>
      <c r="L46" s="742"/>
      <c r="M46" s="757"/>
      <c r="N46" s="757"/>
    </row>
    <row r="47" spans="1:14">
      <c r="A47" s="757"/>
      <c r="B47" s="757"/>
      <c r="C47" s="757"/>
      <c r="D47" s="757"/>
      <c r="E47" s="757"/>
      <c r="F47" s="757"/>
      <c r="G47" s="757"/>
      <c r="H47" s="757"/>
      <c r="I47" s="757"/>
      <c r="J47" s="742"/>
      <c r="K47" s="742"/>
      <c r="L47" s="742"/>
      <c r="M47" s="757"/>
      <c r="N47" s="757"/>
    </row>
    <row r="48" spans="1:14">
      <c r="A48" s="757"/>
      <c r="B48" s="757"/>
      <c r="C48" s="757"/>
      <c r="D48" s="757"/>
      <c r="E48" s="757"/>
      <c r="F48" s="757"/>
      <c r="G48" s="757"/>
      <c r="H48" s="757"/>
      <c r="I48" s="757"/>
      <c r="J48" s="757"/>
      <c r="K48" s="757"/>
      <c r="L48" s="757"/>
      <c r="M48" s="757"/>
      <c r="N48" s="757"/>
    </row>
    <row r="49" spans="1:14">
      <c r="A49" s="757"/>
      <c r="B49" s="757"/>
      <c r="C49" s="757"/>
      <c r="D49" s="757"/>
      <c r="E49" s="757"/>
      <c r="F49" s="757"/>
      <c r="G49" s="757"/>
      <c r="H49" s="757"/>
      <c r="I49" s="757"/>
      <c r="J49" s="757"/>
      <c r="K49" s="757"/>
      <c r="L49" s="757"/>
      <c r="M49" s="757"/>
      <c r="N49" s="757"/>
    </row>
    <row r="50" spans="1:14">
      <c r="A50" s="757"/>
      <c r="B50" s="757"/>
      <c r="C50" s="757"/>
      <c r="D50" s="757"/>
      <c r="E50" s="757"/>
      <c r="F50" s="757"/>
      <c r="G50" s="757"/>
      <c r="H50" s="757"/>
      <c r="I50" s="757"/>
      <c r="J50" s="757"/>
      <c r="K50" s="757"/>
      <c r="L50" s="757"/>
      <c r="M50" s="757"/>
      <c r="N50" s="757"/>
    </row>
    <row r="51" spans="1:14">
      <c r="A51" s="757"/>
      <c r="B51" s="757"/>
      <c r="C51" s="757"/>
      <c r="D51" s="757"/>
      <c r="E51" s="757"/>
      <c r="F51" s="757"/>
      <c r="G51" s="757"/>
      <c r="H51" s="757"/>
      <c r="I51" s="757"/>
      <c r="J51" s="757"/>
      <c r="K51" s="757"/>
      <c r="L51" s="757"/>
      <c r="M51" s="757"/>
      <c r="N51" s="757"/>
    </row>
    <row r="52" spans="1:14">
      <c r="A52" s="757"/>
      <c r="B52" s="757"/>
      <c r="C52" s="757"/>
      <c r="D52" s="757"/>
      <c r="E52" s="757"/>
      <c r="F52" s="757"/>
      <c r="G52" s="757"/>
      <c r="H52" s="757"/>
      <c r="I52" s="757"/>
      <c r="J52" s="757"/>
      <c r="K52" s="757"/>
      <c r="L52" s="757"/>
      <c r="M52" s="757"/>
      <c r="N52" s="757"/>
    </row>
    <row r="53" spans="1:14">
      <c r="A53" s="757"/>
      <c r="B53" s="757"/>
      <c r="C53" s="757"/>
      <c r="D53" s="757"/>
      <c r="E53" s="757"/>
      <c r="F53" s="757"/>
      <c r="G53" s="757"/>
      <c r="H53" s="757"/>
      <c r="I53" s="757"/>
      <c r="J53" s="757"/>
      <c r="K53" s="757"/>
      <c r="L53" s="757"/>
      <c r="M53" s="757"/>
      <c r="N53" s="757"/>
    </row>
  </sheetData>
  <mergeCells count="5">
    <mergeCell ref="I32:L37"/>
    <mergeCell ref="A6:F6"/>
    <mergeCell ref="I9:L9"/>
    <mergeCell ref="I18:L20"/>
    <mergeCell ref="I21:L24"/>
  </mergeCells>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90"/>
  </sheetPr>
  <dimension ref="A1:G75"/>
  <sheetViews>
    <sheetView topLeftCell="A7" workbookViewId="0">
      <selection activeCell="A22" sqref="A22"/>
    </sheetView>
  </sheetViews>
  <sheetFormatPr defaultColWidth="11.42578125" defaultRowHeight="15"/>
  <cols>
    <col min="1" max="1" width="30.85546875" customWidth="1"/>
    <col min="2" max="2" width="24.42578125" customWidth="1"/>
    <col min="3" max="3" width="50.140625" customWidth="1"/>
    <col min="4" max="4" width="32" customWidth="1"/>
    <col min="5" max="5" width="16.7109375" customWidth="1"/>
    <col min="6" max="6" width="13.140625" customWidth="1"/>
  </cols>
  <sheetData>
    <row r="1" spans="1:7" ht="24.75">
      <c r="A1" s="1262" t="s">
        <v>1641</v>
      </c>
      <c r="B1" s="1266"/>
      <c r="C1" s="1267"/>
    </row>
    <row r="2" spans="1:7" ht="22.5">
      <c r="A2" s="1268" t="s">
        <v>978</v>
      </c>
      <c r="B2" s="1266"/>
      <c r="C2" s="1267"/>
    </row>
    <row r="3" spans="1:7" ht="15.75" thickBot="1"/>
    <row r="4" spans="1:7" ht="15.75" thickBot="1">
      <c r="A4" s="277" t="s">
        <v>974</v>
      </c>
      <c r="B4" s="953" t="s">
        <v>886</v>
      </c>
      <c r="C4" s="294" t="s">
        <v>973</v>
      </c>
    </row>
    <row r="5" spans="1:7" ht="15.75" thickBot="1">
      <c r="A5" s="543" t="s">
        <v>1027</v>
      </c>
      <c r="B5" s="1255"/>
      <c r="C5" s="1256"/>
    </row>
    <row r="6" spans="1:7" ht="75">
      <c r="A6" s="1334" t="s">
        <v>1026</v>
      </c>
      <c r="B6" s="1335">
        <f>(+'DoF Revenue summary'!B11+'DoF Revenue summary'!B8+'DoF Revenue summary'!B16)/1000</f>
        <v>299864.04213999998</v>
      </c>
      <c r="C6" s="1337" t="s">
        <v>976</v>
      </c>
      <c r="G6" s="391"/>
    </row>
    <row r="7" spans="1:7" ht="45.75" thickBot="1">
      <c r="A7" s="1336" t="s">
        <v>984</v>
      </c>
      <c r="B7" s="1261" t="s">
        <v>1638</v>
      </c>
      <c r="C7" s="1338" t="s">
        <v>1640</v>
      </c>
      <c r="G7" s="391"/>
    </row>
    <row r="8" spans="1:7" ht="15.75" thickBot="1">
      <c r="A8" s="1054" t="s">
        <v>1563</v>
      </c>
      <c r="B8" s="1258"/>
      <c r="C8" s="1339"/>
      <c r="G8" s="391"/>
    </row>
    <row r="9" spans="1:7" ht="45">
      <c r="A9" s="1334" t="s">
        <v>975</v>
      </c>
      <c r="B9" s="1335">
        <f>+'DoF Revenue summary'!B18/1000</f>
        <v>32264.199670000002</v>
      </c>
      <c r="C9" s="1337" t="s">
        <v>977</v>
      </c>
      <c r="E9" s="393"/>
      <c r="F9" s="482"/>
      <c r="G9" s="482"/>
    </row>
    <row r="10" spans="1:7" ht="47.25" customHeight="1">
      <c r="A10" s="1333" t="s">
        <v>1156</v>
      </c>
      <c r="B10" s="1331">
        <f>+'Hhold wood use for energy'!C28/1000</f>
        <v>63375929.592790261</v>
      </c>
      <c r="C10" s="1340" t="s">
        <v>1157</v>
      </c>
      <c r="F10" s="391"/>
      <c r="G10" s="391"/>
    </row>
    <row r="11" spans="1:7" ht="32.1" customHeight="1">
      <c r="A11" s="1333" t="s">
        <v>1681</v>
      </c>
      <c r="B11" s="1331">
        <f>+'Hhold wood use for energy'!C29/1000</f>
        <v>4285133.7087443545</v>
      </c>
      <c r="C11" s="1340" t="s">
        <v>1682</v>
      </c>
      <c r="F11" s="1233"/>
      <c r="G11" s="1233"/>
    </row>
    <row r="12" spans="1:7" ht="30">
      <c r="A12" s="1333" t="s">
        <v>979</v>
      </c>
      <c r="B12" s="1621" t="s">
        <v>1638</v>
      </c>
      <c r="C12" s="1620" t="s">
        <v>1639</v>
      </c>
      <c r="F12" s="391"/>
      <c r="G12" s="391"/>
    </row>
    <row r="13" spans="1:7" ht="30">
      <c r="A13" s="1333" t="s">
        <v>980</v>
      </c>
      <c r="B13" s="1621"/>
      <c r="C13" s="1620"/>
      <c r="F13" s="1233"/>
      <c r="G13" s="1233"/>
    </row>
    <row r="14" spans="1:7" ht="30">
      <c r="A14" s="1333" t="s">
        <v>1158</v>
      </c>
      <c r="B14" s="1332">
        <f>+'Forest businesses'!F13/1000</f>
        <v>97049.149961242656</v>
      </c>
      <c r="C14" s="1340" t="s">
        <v>1642</v>
      </c>
      <c r="F14" s="482"/>
      <c r="G14" s="482"/>
    </row>
    <row r="15" spans="1:7" ht="75">
      <c r="A15" s="1333" t="s">
        <v>1687</v>
      </c>
      <c r="B15" s="1332">
        <f>+'Institutional-Indus. wood use'!E14/1000</f>
        <v>6698556.2314944379</v>
      </c>
      <c r="C15" s="1341" t="s">
        <v>1673</v>
      </c>
      <c r="G15" s="391"/>
    </row>
    <row r="16" spans="1:7" ht="27.95" customHeight="1" thickBot="1">
      <c r="A16" s="1333" t="s">
        <v>1686</v>
      </c>
      <c r="B16" s="1332">
        <f>+('Other gathered products'!B10)/1000</f>
        <v>22180.852654685976</v>
      </c>
      <c r="C16" s="1620" t="s">
        <v>1685</v>
      </c>
      <c r="D16" s="1561" t="s">
        <v>1856</v>
      </c>
      <c r="E16" s="1561"/>
      <c r="F16" s="1562"/>
      <c r="G16" s="1233"/>
    </row>
    <row r="17" spans="1:7" ht="45.75" thickBot="1">
      <c r="A17" s="1336" t="s">
        <v>1684</v>
      </c>
      <c r="B17" s="1342">
        <f>+('Other gathered products'!B14)/1000</f>
        <v>52239.526433715815</v>
      </c>
      <c r="C17" s="1622"/>
      <c r="D17" s="1556"/>
      <c r="E17" s="1552" t="s">
        <v>1748</v>
      </c>
      <c r="F17" s="952" t="s">
        <v>1730</v>
      </c>
      <c r="G17" s="391"/>
    </row>
    <row r="18" spans="1:7" ht="30.75" thickBot="1">
      <c r="A18" s="1345" t="s">
        <v>1688</v>
      </c>
      <c r="B18" s="1342">
        <f>+SUM(B6:B17)</f>
        <v>74863217.303888708</v>
      </c>
      <c r="C18" s="1344"/>
      <c r="D18" s="1557" t="s">
        <v>1731</v>
      </c>
      <c r="E18" s="1553">
        <f>+'National Accounts'!F8*1000</f>
        <v>8664495.6984842289</v>
      </c>
      <c r="F18" s="1554">
        <f>+B18</f>
        <v>74863217.303888708</v>
      </c>
      <c r="G18" s="1233"/>
    </row>
    <row r="19" spans="1:7" ht="32.25" thickBot="1">
      <c r="A19" s="1346" t="s">
        <v>1564</v>
      </c>
      <c r="B19" s="1260">
        <f>+'Forest sustainability balance'!B90/1000</f>
        <v>-30090209.747065928</v>
      </c>
      <c r="C19" s="1259"/>
      <c r="D19" s="330" t="s">
        <v>1732</v>
      </c>
      <c r="E19" s="1555">
        <f>+'National Accounts'!E33</f>
        <v>9.8924108920748714E-3</v>
      </c>
      <c r="F19" s="1563">
        <f>+F18/F20</f>
        <v>7.9466578645996669E-2</v>
      </c>
      <c r="G19" s="391"/>
    </row>
    <row r="20" spans="1:7" ht="16.5" thickBot="1">
      <c r="A20" s="1347" t="s">
        <v>987</v>
      </c>
      <c r="B20" s="1257">
        <f>+B18+B19</f>
        <v>44773007.556822777</v>
      </c>
      <c r="C20" s="1234"/>
      <c r="D20" s="1560" t="s">
        <v>1733</v>
      </c>
      <c r="E20" s="1558">
        <f>+'National Accounts'!F28*1000</f>
        <v>875873009.42236805</v>
      </c>
      <c r="F20" s="1559">
        <f>+E20+F18-E18</f>
        <v>942071731.02777255</v>
      </c>
      <c r="G20" s="391"/>
    </row>
    <row r="21" spans="1:7">
      <c r="A21" s="391"/>
      <c r="B21" s="391"/>
      <c r="C21" s="391"/>
      <c r="D21" s="391"/>
      <c r="E21" s="391"/>
      <c r="F21" s="391"/>
      <c r="G21" s="391"/>
    </row>
    <row r="22" spans="1:7">
      <c r="F22" s="391"/>
      <c r="G22" s="391"/>
    </row>
    <row r="23" spans="1:7">
      <c r="F23" s="391"/>
      <c r="G23" s="391"/>
    </row>
    <row r="24" spans="1:7">
      <c r="D24" s="391"/>
      <c r="E24" s="391"/>
      <c r="F24" s="391"/>
      <c r="G24" s="391"/>
    </row>
    <row r="25" spans="1:7">
      <c r="A25" s="391"/>
      <c r="B25" s="391"/>
      <c r="C25" s="391"/>
      <c r="D25" s="391"/>
      <c r="E25" s="391"/>
      <c r="F25" s="391"/>
      <c r="G25" s="391"/>
    </row>
    <row r="26" spans="1:7">
      <c r="A26" s="391"/>
      <c r="B26" s="391"/>
      <c r="C26" s="391"/>
      <c r="D26" s="391"/>
      <c r="E26" s="391"/>
      <c r="F26" s="391"/>
      <c r="G26" s="391"/>
    </row>
    <row r="27" spans="1:7">
      <c r="A27" s="391"/>
      <c r="B27" s="391"/>
      <c r="C27" s="391"/>
      <c r="D27" s="391"/>
      <c r="E27" s="391"/>
      <c r="F27" s="391"/>
      <c r="G27" s="391"/>
    </row>
    <row r="28" spans="1:7">
      <c r="A28" s="391"/>
      <c r="B28" s="391"/>
      <c r="C28" s="391"/>
      <c r="D28" s="391"/>
      <c r="E28" s="391"/>
      <c r="F28" s="391"/>
      <c r="G28" s="391"/>
    </row>
    <row r="29" spans="1:7">
      <c r="A29" s="391"/>
      <c r="B29" s="391"/>
      <c r="C29" s="391"/>
      <c r="D29" s="391"/>
      <c r="E29" s="391"/>
      <c r="F29" s="391"/>
      <c r="G29" s="391"/>
    </row>
    <row r="30" spans="1:7">
      <c r="A30" s="391"/>
      <c r="B30" s="391"/>
      <c r="C30" s="391"/>
      <c r="D30" s="391"/>
      <c r="E30" s="391"/>
      <c r="F30" s="391"/>
      <c r="G30" s="391"/>
    </row>
    <row r="31" spans="1:7">
      <c r="A31" s="391"/>
      <c r="B31" s="391"/>
      <c r="C31" s="391"/>
      <c r="D31" s="391"/>
      <c r="E31" s="391"/>
      <c r="F31" s="391"/>
      <c r="G31" s="391"/>
    </row>
    <row r="32" spans="1:7">
      <c r="A32" s="391"/>
      <c r="B32" s="391"/>
      <c r="C32" s="391"/>
      <c r="D32" s="391"/>
      <c r="E32" s="391"/>
      <c r="F32" s="391"/>
      <c r="G32" s="391"/>
    </row>
    <row r="33" spans="1:7">
      <c r="A33" s="391"/>
      <c r="B33" s="391"/>
      <c r="C33" s="391"/>
      <c r="D33" s="391"/>
      <c r="E33" s="391"/>
      <c r="F33" s="391"/>
      <c r="G33" s="391"/>
    </row>
    <row r="34" spans="1:7">
      <c r="A34" s="391"/>
      <c r="B34" s="391"/>
      <c r="C34" s="391"/>
      <c r="D34" s="391"/>
      <c r="E34" s="391"/>
      <c r="F34" s="391"/>
      <c r="G34" s="391"/>
    </row>
    <row r="35" spans="1:7">
      <c r="A35" s="391"/>
      <c r="B35" s="391"/>
      <c r="C35" s="391"/>
      <c r="D35" s="391"/>
      <c r="E35" s="391"/>
      <c r="F35" s="391"/>
      <c r="G35" s="391"/>
    </row>
    <row r="36" spans="1:7">
      <c r="A36" s="391"/>
      <c r="B36" s="391"/>
      <c r="C36" s="391"/>
      <c r="D36" s="391"/>
      <c r="E36" s="391"/>
      <c r="F36" s="391"/>
      <c r="G36" s="391"/>
    </row>
    <row r="37" spans="1:7">
      <c r="A37" s="391"/>
      <c r="B37" s="391"/>
      <c r="C37" s="391"/>
      <c r="D37" s="391"/>
      <c r="E37" s="391"/>
      <c r="F37" s="391"/>
      <c r="G37" s="391"/>
    </row>
    <row r="38" spans="1:7">
      <c r="A38" s="391"/>
      <c r="B38" s="391"/>
      <c r="C38" s="391"/>
      <c r="D38" s="391"/>
      <c r="E38" s="391"/>
      <c r="F38" s="391"/>
      <c r="G38" s="391"/>
    </row>
    <row r="39" spans="1:7">
      <c r="A39" s="391"/>
      <c r="B39" s="391"/>
      <c r="C39" s="391"/>
      <c r="D39" s="391"/>
      <c r="E39" s="391"/>
      <c r="F39" s="391"/>
      <c r="G39" s="391"/>
    </row>
    <row r="40" spans="1:7">
      <c r="A40" s="391"/>
      <c r="B40" s="391"/>
      <c r="C40" s="391"/>
      <c r="D40" s="391"/>
      <c r="E40" s="391"/>
      <c r="F40" s="391"/>
      <c r="G40" s="391"/>
    </row>
    <row r="41" spans="1:7">
      <c r="A41" s="391"/>
      <c r="B41" s="391"/>
      <c r="C41" s="391"/>
      <c r="D41" s="391"/>
      <c r="E41" s="391"/>
      <c r="F41" s="391"/>
      <c r="G41" s="391"/>
    </row>
    <row r="42" spans="1:7">
      <c r="A42" s="391"/>
      <c r="B42" s="391"/>
      <c r="C42" s="391"/>
      <c r="D42" s="391"/>
      <c r="E42" s="391"/>
      <c r="F42" s="391"/>
      <c r="G42" s="391"/>
    </row>
    <row r="43" spans="1:7">
      <c r="A43" s="391"/>
      <c r="B43" s="391"/>
      <c r="C43" s="391"/>
      <c r="D43" s="391"/>
      <c r="E43" s="391"/>
      <c r="F43" s="391"/>
      <c r="G43" s="391"/>
    </row>
    <row r="44" spans="1:7">
      <c r="A44" s="391"/>
      <c r="B44" s="391"/>
      <c r="C44" s="391"/>
      <c r="D44" s="391"/>
      <c r="E44" s="391"/>
      <c r="F44" s="391"/>
      <c r="G44" s="391"/>
    </row>
    <row r="45" spans="1:7">
      <c r="A45" s="391"/>
      <c r="B45" s="391"/>
      <c r="C45" s="391"/>
      <c r="D45" s="391"/>
      <c r="E45" s="391"/>
      <c r="F45" s="391"/>
      <c r="G45" s="391"/>
    </row>
    <row r="46" spans="1:7">
      <c r="A46" s="391"/>
      <c r="B46" s="391"/>
      <c r="C46" s="391"/>
      <c r="D46" s="391"/>
      <c r="E46" s="391"/>
      <c r="F46" s="391"/>
      <c r="G46" s="391"/>
    </row>
    <row r="47" spans="1:7">
      <c r="A47" s="391"/>
      <c r="B47" s="391"/>
      <c r="C47" s="391"/>
      <c r="D47" s="391"/>
      <c r="E47" s="391"/>
      <c r="F47" s="391"/>
      <c r="G47" s="391"/>
    </row>
    <row r="48" spans="1:7">
      <c r="A48" s="391"/>
      <c r="B48" s="391"/>
      <c r="C48" s="391"/>
      <c r="D48" s="391"/>
      <c r="E48" s="391"/>
      <c r="F48" s="391"/>
      <c r="G48" s="391"/>
    </row>
    <row r="49" spans="1:7">
      <c r="A49" s="391"/>
      <c r="B49" s="391"/>
      <c r="C49" s="391"/>
      <c r="D49" s="391"/>
      <c r="E49" s="391"/>
      <c r="F49" s="391"/>
      <c r="G49" s="391"/>
    </row>
    <row r="50" spans="1:7">
      <c r="A50" s="391"/>
      <c r="B50" s="391"/>
      <c r="C50" s="391"/>
      <c r="D50" s="391"/>
      <c r="E50" s="391"/>
      <c r="F50" s="391"/>
      <c r="G50" s="391"/>
    </row>
    <row r="51" spans="1:7">
      <c r="A51" s="391"/>
      <c r="B51" s="391"/>
      <c r="C51" s="391"/>
      <c r="D51" s="391"/>
      <c r="E51" s="391"/>
      <c r="F51" s="391"/>
      <c r="G51" s="391"/>
    </row>
    <row r="52" spans="1:7">
      <c r="A52" s="391"/>
      <c r="B52" s="391"/>
      <c r="C52" s="391"/>
      <c r="D52" s="391"/>
      <c r="E52" s="391"/>
      <c r="F52" s="391"/>
      <c r="G52" s="391"/>
    </row>
    <row r="53" spans="1:7">
      <c r="A53" s="391"/>
      <c r="B53" s="391"/>
      <c r="C53" s="391"/>
      <c r="D53" s="391"/>
      <c r="E53" s="391"/>
      <c r="F53" s="391"/>
      <c r="G53" s="391"/>
    </row>
    <row r="54" spans="1:7">
      <c r="A54" s="391"/>
      <c r="B54" s="391"/>
      <c r="C54" s="391"/>
      <c r="D54" s="391"/>
      <c r="E54" s="391"/>
      <c r="F54" s="391"/>
      <c r="G54" s="391"/>
    </row>
    <row r="55" spans="1:7">
      <c r="A55" s="391"/>
      <c r="B55" s="391"/>
      <c r="C55" s="391"/>
      <c r="D55" s="391"/>
      <c r="E55" s="391"/>
      <c r="F55" s="391"/>
      <c r="G55" s="391"/>
    </row>
    <row r="56" spans="1:7">
      <c r="A56" s="391"/>
      <c r="B56" s="391"/>
      <c r="C56" s="391"/>
      <c r="D56" s="391"/>
      <c r="E56" s="391"/>
      <c r="F56" s="391"/>
      <c r="G56" s="391"/>
    </row>
    <row r="57" spans="1:7">
      <c r="A57" s="391"/>
      <c r="B57" s="391"/>
      <c r="C57" s="391"/>
      <c r="D57" s="391"/>
      <c r="E57" s="391"/>
      <c r="F57" s="391"/>
      <c r="G57" s="391"/>
    </row>
    <row r="58" spans="1:7">
      <c r="A58" s="391"/>
      <c r="B58" s="391"/>
      <c r="C58" s="391"/>
      <c r="D58" s="391"/>
      <c r="E58" s="391"/>
      <c r="F58" s="391"/>
      <c r="G58" s="391"/>
    </row>
    <row r="59" spans="1:7">
      <c r="A59" s="391"/>
      <c r="B59" s="391"/>
      <c r="C59" s="391"/>
      <c r="D59" s="391"/>
      <c r="E59" s="391"/>
      <c r="F59" s="391"/>
      <c r="G59" s="391"/>
    </row>
    <row r="60" spans="1:7">
      <c r="A60" s="391"/>
      <c r="B60" s="391"/>
      <c r="C60" s="391"/>
      <c r="D60" s="391"/>
      <c r="E60" s="391"/>
      <c r="F60" s="391"/>
      <c r="G60" s="391"/>
    </row>
    <row r="61" spans="1:7">
      <c r="A61" s="391"/>
      <c r="B61" s="391"/>
      <c r="C61" s="391"/>
      <c r="D61" s="391"/>
      <c r="E61" s="391"/>
      <c r="F61" s="391"/>
      <c r="G61" s="391"/>
    </row>
    <row r="62" spans="1:7">
      <c r="A62" s="391"/>
      <c r="B62" s="391"/>
      <c r="C62" s="391"/>
      <c r="D62" s="391"/>
      <c r="E62" s="391"/>
      <c r="F62" s="391"/>
      <c r="G62" s="391"/>
    </row>
    <row r="63" spans="1:7">
      <c r="A63" s="391"/>
      <c r="B63" s="391"/>
      <c r="C63" s="391"/>
      <c r="D63" s="391"/>
      <c r="E63" s="391"/>
      <c r="F63" s="391"/>
      <c r="G63" s="391"/>
    </row>
    <row r="64" spans="1:7">
      <c r="A64" s="391"/>
      <c r="B64" s="391"/>
      <c r="C64" s="391"/>
      <c r="D64" s="391"/>
      <c r="E64" s="391"/>
      <c r="F64" s="391"/>
      <c r="G64" s="391"/>
    </row>
    <row r="65" spans="1:7">
      <c r="A65" s="391"/>
      <c r="B65" s="391"/>
      <c r="C65" s="391"/>
      <c r="D65" s="391"/>
      <c r="E65" s="391"/>
      <c r="F65" s="391"/>
      <c r="G65" s="391"/>
    </row>
    <row r="66" spans="1:7">
      <c r="A66" s="391"/>
      <c r="B66" s="391"/>
      <c r="C66" s="391"/>
      <c r="D66" s="391"/>
      <c r="E66" s="391"/>
      <c r="F66" s="391"/>
      <c r="G66" s="391"/>
    </row>
    <row r="67" spans="1:7">
      <c r="A67" s="391"/>
      <c r="B67" s="391"/>
      <c r="C67" s="391"/>
      <c r="D67" s="391"/>
      <c r="E67" s="391"/>
      <c r="F67" s="391"/>
      <c r="G67" s="391"/>
    </row>
    <row r="68" spans="1:7">
      <c r="A68" s="391"/>
      <c r="B68" s="391"/>
      <c r="C68" s="391"/>
      <c r="D68" s="391"/>
      <c r="E68" s="391"/>
      <c r="F68" s="391"/>
      <c r="G68" s="391"/>
    </row>
    <row r="69" spans="1:7">
      <c r="A69" s="391"/>
      <c r="B69" s="391"/>
      <c r="C69" s="391"/>
      <c r="D69" s="391"/>
      <c r="E69" s="391"/>
      <c r="F69" s="391"/>
      <c r="G69" s="391"/>
    </row>
    <row r="70" spans="1:7">
      <c r="A70" s="391"/>
      <c r="B70" s="391"/>
      <c r="C70" s="391"/>
      <c r="D70" s="391"/>
      <c r="E70" s="391"/>
      <c r="F70" s="391"/>
      <c r="G70" s="391"/>
    </row>
    <row r="71" spans="1:7">
      <c r="A71" s="391"/>
      <c r="B71" s="391"/>
      <c r="C71" s="391"/>
      <c r="D71" s="391"/>
      <c r="E71" s="391"/>
      <c r="F71" s="391"/>
      <c r="G71" s="391"/>
    </row>
    <row r="72" spans="1:7">
      <c r="A72" s="391"/>
      <c r="B72" s="391"/>
      <c r="C72" s="391"/>
      <c r="D72" s="391"/>
      <c r="E72" s="391"/>
      <c r="F72" s="391"/>
      <c r="G72" s="391"/>
    </row>
    <row r="73" spans="1:7">
      <c r="A73" s="391"/>
      <c r="B73" s="391"/>
      <c r="C73" s="391"/>
      <c r="D73" s="391"/>
      <c r="E73" s="391"/>
      <c r="F73" s="391"/>
      <c r="G73" s="391"/>
    </row>
    <row r="74" spans="1:7">
      <c r="A74" s="391"/>
      <c r="B74" s="391"/>
      <c r="C74" s="391"/>
      <c r="D74" s="391"/>
      <c r="E74" s="391"/>
      <c r="F74" s="391"/>
      <c r="G74" s="391"/>
    </row>
    <row r="75" spans="1:7">
      <c r="A75" s="391"/>
      <c r="B75" s="391"/>
      <c r="C75" s="391"/>
      <c r="D75" s="391"/>
      <c r="E75" s="391"/>
      <c r="F75" s="391"/>
      <c r="G75" s="391"/>
    </row>
  </sheetData>
  <mergeCells count="3">
    <mergeCell ref="C12:C13"/>
    <mergeCell ref="B12:B13"/>
    <mergeCell ref="C16:C17"/>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DB646"/>
  </sheetPr>
  <dimension ref="A1:F36"/>
  <sheetViews>
    <sheetView workbookViewId="0"/>
  </sheetViews>
  <sheetFormatPr defaultColWidth="8.85546875" defaultRowHeight="15"/>
  <cols>
    <col min="1" max="1" width="31.28515625" customWidth="1"/>
    <col min="2" max="2" width="24.28515625" customWidth="1"/>
    <col min="3" max="3" width="15.140625" customWidth="1"/>
    <col min="4" max="4" width="50.85546875" customWidth="1"/>
    <col min="5" max="5" width="19.7109375" customWidth="1"/>
    <col min="6" max="6" width="9.140625" customWidth="1"/>
  </cols>
  <sheetData>
    <row r="1" spans="1:6" ht="24.75">
      <c r="A1" s="1262" t="s">
        <v>1507</v>
      </c>
      <c r="B1" s="1262"/>
      <c r="C1" s="1267"/>
      <c r="D1" s="1132"/>
    </row>
    <row r="2" spans="1:6">
      <c r="A2" s="951"/>
      <c r="B2" s="951"/>
    </row>
    <row r="3" spans="1:6" ht="15.75" thickBot="1">
      <c r="A3" s="1142"/>
      <c r="B3" s="951"/>
    </row>
    <row r="4" spans="1:6" ht="15.75" thickBot="1">
      <c r="A4" s="1135" t="s">
        <v>1506</v>
      </c>
      <c r="B4" s="1134" t="s">
        <v>1505</v>
      </c>
      <c r="D4" s="1" t="s">
        <v>1671</v>
      </c>
    </row>
    <row r="5" spans="1:6">
      <c r="A5" s="1141" t="s">
        <v>1504</v>
      </c>
      <c r="B5" s="1140">
        <f>B17</f>
        <v>36183</v>
      </c>
      <c r="D5" t="s">
        <v>1665</v>
      </c>
    </row>
    <row r="6" spans="1:6">
      <c r="A6" s="1139" t="s">
        <v>1497</v>
      </c>
      <c r="B6" s="1137">
        <f>B18</f>
        <v>288</v>
      </c>
      <c r="D6" t="s">
        <v>1666</v>
      </c>
      <c r="E6" s="514">
        <f>+'Forest sustainability balance'!B87</f>
        <v>6019.5263301289433</v>
      </c>
    </row>
    <row r="7" spans="1:6">
      <c r="A7" s="1139" t="s">
        <v>1503</v>
      </c>
      <c r="B7" s="1137">
        <f>B19</f>
        <v>20736</v>
      </c>
      <c r="D7" t="s">
        <v>1667</v>
      </c>
      <c r="E7" s="514">
        <v>2500</v>
      </c>
      <c r="F7" t="s">
        <v>1668</v>
      </c>
    </row>
    <row r="8" spans="1:6">
      <c r="A8" s="1139" t="s">
        <v>1502</v>
      </c>
      <c r="B8" s="1137">
        <f>+B27</f>
        <v>1708073.5494139607</v>
      </c>
      <c r="D8" t="s">
        <v>646</v>
      </c>
      <c r="E8" s="514">
        <f>+(E7+E6)/2</f>
        <v>4259.7631650644717</v>
      </c>
    </row>
    <row r="9" spans="1:6" ht="90">
      <c r="A9" s="1138" t="s">
        <v>1501</v>
      </c>
      <c r="B9" s="1137">
        <f>B35</f>
        <v>42754</v>
      </c>
      <c r="D9" s="1232" t="s">
        <v>1672</v>
      </c>
    </row>
    <row r="10" spans="1:6" ht="24" customHeight="1" thickBot="1">
      <c r="A10" s="1139" t="s">
        <v>1669</v>
      </c>
      <c r="B10" s="1137">
        <f>'Tobacco curing'!D5</f>
        <v>975449.67948000017</v>
      </c>
      <c r="D10" t="s">
        <v>1751</v>
      </c>
      <c r="E10" s="101">
        <f>+B13</f>
        <v>2718242.1525822724</v>
      </c>
    </row>
    <row r="11" spans="1:6">
      <c r="A11" s="1328" t="s">
        <v>1448</v>
      </c>
      <c r="B11" s="1140">
        <f>+SUM(B5:B10)</f>
        <v>2783484.2288939608</v>
      </c>
      <c r="C11" s="1133"/>
      <c r="D11" t="s">
        <v>1752</v>
      </c>
      <c r="E11" s="421">
        <f>+E7</f>
        <v>2500</v>
      </c>
    </row>
    <row r="12" spans="1:6" ht="15.75" thickBot="1">
      <c r="A12" s="1329" t="s">
        <v>1674</v>
      </c>
      <c r="B12" s="1136">
        <f>+'Forest sustainability balance'!B78</f>
        <v>65242.076311688317</v>
      </c>
      <c r="D12" t="s">
        <v>1670</v>
      </c>
      <c r="E12" s="514">
        <f>+E7*B13</f>
        <v>6795605381.4556808</v>
      </c>
    </row>
    <row r="13" spans="1:6" ht="15.75" thickBot="1">
      <c r="A13" s="1326" t="s">
        <v>1679</v>
      </c>
      <c r="B13" s="1327">
        <f>+B11-B12</f>
        <v>2718242.1525822724</v>
      </c>
      <c r="D13" t="s">
        <v>1680</v>
      </c>
      <c r="E13" s="1330">
        <f>-'Forest businesses'!F13</f>
        <v>-97049149.961242661</v>
      </c>
    </row>
    <row r="14" spans="1:6">
      <c r="A14" s="951"/>
      <c r="B14" s="951"/>
      <c r="D14" t="s">
        <v>1683</v>
      </c>
      <c r="E14" s="421">
        <f>+E13+E12</f>
        <v>6698556231.4944382</v>
      </c>
    </row>
    <row r="15" spans="1:6" ht="15.75" thickBot="1">
      <c r="A15" s="1" t="s">
        <v>1500</v>
      </c>
      <c r="E15" s="393"/>
    </row>
    <row r="16" spans="1:6" ht="27" thickBot="1">
      <c r="A16" s="1131" t="s">
        <v>1499</v>
      </c>
      <c r="B16" s="1126" t="s">
        <v>1486</v>
      </c>
    </row>
    <row r="17" spans="1:4">
      <c r="A17" s="1123" t="s">
        <v>1498</v>
      </c>
      <c r="B17" s="1122">
        <v>36183</v>
      </c>
    </row>
    <row r="18" spans="1:4">
      <c r="A18" s="1123" t="s">
        <v>1497</v>
      </c>
      <c r="B18" s="1130">
        <v>288</v>
      </c>
    </row>
    <row r="19" spans="1:4">
      <c r="A19" s="1123" t="s">
        <v>1496</v>
      </c>
      <c r="B19" s="1122">
        <v>20736</v>
      </c>
    </row>
    <row r="20" spans="1:4">
      <c r="A20" s="1123" t="s">
        <v>1495</v>
      </c>
      <c r="B20" s="1122">
        <v>185332</v>
      </c>
    </row>
    <row r="21" spans="1:4" ht="15.75" thickBot="1">
      <c r="A21" s="1121" t="s">
        <v>33</v>
      </c>
      <c r="B21" s="1120">
        <v>242539</v>
      </c>
      <c r="D21" s="393"/>
    </row>
    <row r="22" spans="1:4">
      <c r="A22" s="1738" t="s">
        <v>1494</v>
      </c>
      <c r="B22" s="1738"/>
    </row>
    <row r="23" spans="1:4" ht="15.75" thickBot="1"/>
    <row r="24" spans="1:4" ht="12.95" customHeight="1" thickBot="1">
      <c r="A24" s="277" t="s">
        <v>1493</v>
      </c>
      <c r="B24" s="1072"/>
    </row>
    <row r="25" spans="1:4">
      <c r="A25" s="262" t="s">
        <v>1492</v>
      </c>
      <c r="B25" s="1129">
        <v>1.4</v>
      </c>
      <c r="C25" s="133" t="s">
        <v>1491</v>
      </c>
      <c r="D25" s="133"/>
    </row>
    <row r="26" spans="1:4">
      <c r="A26" s="262" t="s">
        <v>1490</v>
      </c>
      <c r="B26" s="535">
        <f>+'Number of bricks'!K21</f>
        <v>1220052535.2956862</v>
      </c>
    </row>
    <row r="27" spans="1:4" ht="15.75" thickBot="1">
      <c r="A27" s="1065" t="s">
        <v>1489</v>
      </c>
      <c r="B27" s="1128">
        <f>+(B26/1000)*B25</f>
        <v>1708073.5494139607</v>
      </c>
    </row>
    <row r="28" spans="1:4">
      <c r="B28" s="514"/>
    </row>
    <row r="30" spans="1:4" ht="15.75" thickBot="1">
      <c r="A30" s="1" t="s">
        <v>1488</v>
      </c>
    </row>
    <row r="31" spans="1:4" ht="27" thickBot="1">
      <c r="A31" s="1127" t="s">
        <v>1487</v>
      </c>
      <c r="B31" s="1126" t="s">
        <v>1486</v>
      </c>
    </row>
    <row r="32" spans="1:4">
      <c r="A32" s="1125" t="s">
        <v>1485</v>
      </c>
      <c r="B32" s="1124">
        <v>13476</v>
      </c>
    </row>
    <row r="33" spans="1:2">
      <c r="A33" s="1123" t="s">
        <v>1484</v>
      </c>
      <c r="B33" s="1122">
        <v>1436</v>
      </c>
    </row>
    <row r="34" spans="1:2">
      <c r="A34" s="1123" t="s">
        <v>1483</v>
      </c>
      <c r="B34" s="1122">
        <v>27842</v>
      </c>
    </row>
    <row r="35" spans="1:2" ht="15.75" thickBot="1">
      <c r="A35" s="1121" t="s">
        <v>33</v>
      </c>
      <c r="B35" s="1120">
        <v>42754</v>
      </c>
    </row>
    <row r="36" spans="1:2">
      <c r="A36" s="1737" t="s">
        <v>1482</v>
      </c>
      <c r="B36" s="1737"/>
    </row>
  </sheetData>
  <mergeCells count="2">
    <mergeCell ref="A36:B36"/>
    <mergeCell ref="A22:B22"/>
  </mergeCells>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DB646"/>
  </sheetPr>
  <dimension ref="A1:N154"/>
  <sheetViews>
    <sheetView workbookViewId="0"/>
  </sheetViews>
  <sheetFormatPr defaultColWidth="8.85546875" defaultRowHeight="15"/>
  <cols>
    <col min="1" max="1" width="15.28515625" customWidth="1"/>
    <col min="3" max="3" width="13.28515625" bestFit="1" customWidth="1"/>
    <col min="4" max="4" width="10" customWidth="1"/>
    <col min="5" max="5" width="11.85546875" customWidth="1"/>
    <col min="6" max="7" width="9.85546875" bestFit="1" customWidth="1"/>
    <col min="8" max="8" width="22.140625" customWidth="1"/>
    <col min="9" max="9" width="16.28515625" customWidth="1"/>
    <col min="10" max="10" width="16.140625" customWidth="1"/>
    <col min="11" max="11" width="14.7109375" customWidth="1"/>
    <col min="12" max="12" width="15.42578125" bestFit="1" customWidth="1"/>
    <col min="13" max="13" width="9.85546875" bestFit="1" customWidth="1"/>
  </cols>
  <sheetData>
    <row r="1" spans="1:12" ht="24.75">
      <c r="A1" s="1262" t="s">
        <v>1481</v>
      </c>
      <c r="B1" s="1287"/>
      <c r="C1" s="1287"/>
    </row>
    <row r="4" spans="1:12" ht="15.75" thickBot="1"/>
    <row r="5" spans="1:12" ht="15.75" thickBot="1">
      <c r="A5" t="s">
        <v>1480</v>
      </c>
      <c r="I5" s="1119" t="s">
        <v>1479</v>
      </c>
      <c r="J5" s="1118"/>
      <c r="K5" s="1117"/>
    </row>
    <row r="6" spans="1:12" ht="15.75" thickBot="1">
      <c r="A6" s="543" t="s">
        <v>1434</v>
      </c>
      <c r="B6" s="255"/>
      <c r="C6" s="255"/>
      <c r="D6" s="255"/>
      <c r="E6" s="255"/>
      <c r="F6" s="255"/>
      <c r="G6" s="256"/>
      <c r="I6" s="1071" t="s">
        <v>1478</v>
      </c>
      <c r="J6" s="252"/>
      <c r="K6" s="1072">
        <f>B34</f>
        <v>3628.7999999999997</v>
      </c>
    </row>
    <row r="7" spans="1:12" ht="30.75" thickBot="1">
      <c r="A7" s="262" t="s">
        <v>104</v>
      </c>
      <c r="B7" s="249" t="s">
        <v>104</v>
      </c>
      <c r="C7" s="249" t="s">
        <v>573</v>
      </c>
      <c r="D7" s="249" t="s">
        <v>574</v>
      </c>
      <c r="E7" s="249" t="s">
        <v>575</v>
      </c>
      <c r="F7" s="249" t="s">
        <v>576</v>
      </c>
      <c r="G7" s="258"/>
      <c r="I7" s="1116" t="s">
        <v>1477</v>
      </c>
      <c r="J7" s="1115" t="s">
        <v>1476</v>
      </c>
      <c r="K7" s="1114" t="s">
        <v>1475</v>
      </c>
    </row>
    <row r="8" spans="1:12">
      <c r="A8" s="262" t="s">
        <v>577</v>
      </c>
      <c r="B8" s="249">
        <v>0</v>
      </c>
      <c r="C8" s="534">
        <v>7528.3404655456543</v>
      </c>
      <c r="D8" s="249">
        <v>0.55444300940911884</v>
      </c>
      <c r="E8" s="542">
        <v>0.55444300940911884</v>
      </c>
      <c r="F8" s="249">
        <v>0.55444300940911884</v>
      </c>
      <c r="G8" s="258"/>
      <c r="I8" s="387">
        <v>0</v>
      </c>
      <c r="J8" s="532">
        <f t="shared" ref="J8:J20" si="0">+D8*$J$21/100</f>
        <v>609.2238268821045</v>
      </c>
      <c r="K8" s="533">
        <f t="shared" ref="K8:K14" si="1">I8*J8*$K$6</f>
        <v>0</v>
      </c>
    </row>
    <row r="9" spans="1:12">
      <c r="A9" s="262"/>
      <c r="B9" s="249">
        <v>1</v>
      </c>
      <c r="C9" s="534">
        <v>114440.73714256287</v>
      </c>
      <c r="D9" s="249">
        <v>8.4282674237052522</v>
      </c>
      <c r="E9" s="542">
        <v>8.4282674237052522</v>
      </c>
      <c r="F9" s="249">
        <v>8.9827104331143701</v>
      </c>
      <c r="G9" s="258"/>
      <c r="I9" s="262">
        <v>1</v>
      </c>
      <c r="J9" s="534">
        <f t="shared" si="0"/>
        <v>9261.0083393920759</v>
      </c>
      <c r="K9" s="535">
        <f t="shared" si="1"/>
        <v>33606347.061985962</v>
      </c>
      <c r="L9" s="393"/>
    </row>
    <row r="10" spans="1:12">
      <c r="A10" s="262"/>
      <c r="B10" s="249">
        <v>2</v>
      </c>
      <c r="C10" s="534">
        <v>344033.89078998566</v>
      </c>
      <c r="D10" s="249">
        <v>25.337215634880614</v>
      </c>
      <c r="E10" s="542">
        <v>25.337215634880614</v>
      </c>
      <c r="F10" s="249">
        <v>34.319926067994984</v>
      </c>
      <c r="G10" s="258"/>
      <c r="I10" s="262">
        <v>2</v>
      </c>
      <c r="J10" s="534">
        <f t="shared" si="0"/>
        <v>27840.616996992267</v>
      </c>
      <c r="K10" s="535">
        <f t="shared" si="1"/>
        <v>202056061.91737106</v>
      </c>
      <c r="L10" s="393"/>
    </row>
    <row r="11" spans="1:12">
      <c r="A11" s="262"/>
      <c r="B11" s="249">
        <v>3</v>
      </c>
      <c r="C11" s="534">
        <v>466410.34529399872</v>
      </c>
      <c r="D11" s="249">
        <v>34.349928333854606</v>
      </c>
      <c r="E11" s="542">
        <v>34.349928333854606</v>
      </c>
      <c r="F11" s="249">
        <v>68.669854401849591</v>
      </c>
      <c r="G11" s="258"/>
      <c r="I11" s="262">
        <v>3</v>
      </c>
      <c r="J11" s="534">
        <f t="shared" si="0"/>
        <v>37743.815753000548</v>
      </c>
      <c r="K11" s="535">
        <f t="shared" si="1"/>
        <v>410894275.81346512</v>
      </c>
      <c r="L11" s="393"/>
    </row>
    <row r="12" spans="1:12">
      <c r="A12" s="262"/>
      <c r="B12" s="249">
        <v>4</v>
      </c>
      <c r="C12" s="534">
        <v>300466.59733104706</v>
      </c>
      <c r="D12" s="249">
        <v>22.128595965282113</v>
      </c>
      <c r="E12" s="542">
        <v>22.128595965282113</v>
      </c>
      <c r="F12" s="249">
        <v>90.798450367131707</v>
      </c>
      <c r="G12" s="258"/>
      <c r="I12" s="262">
        <v>4</v>
      </c>
      <c r="J12" s="534">
        <f t="shared" si="0"/>
        <v>24314.975008638532</v>
      </c>
      <c r="K12" s="535">
        <f t="shared" si="1"/>
        <v>352936725.24539</v>
      </c>
      <c r="L12" s="393"/>
    </row>
    <row r="13" spans="1:12">
      <c r="A13" s="262"/>
      <c r="B13" s="249">
        <v>5</v>
      </c>
      <c r="C13" s="534">
        <v>82049.101470947266</v>
      </c>
      <c r="D13" s="249">
        <v>6.0427063503654823</v>
      </c>
      <c r="E13" s="542">
        <v>6.0427063503654823</v>
      </c>
      <c r="F13" s="249">
        <v>96.841156717497185</v>
      </c>
      <c r="G13" s="258"/>
      <c r="I13" s="262">
        <v>5</v>
      </c>
      <c r="J13" s="534">
        <f t="shared" si="0"/>
        <v>6639.7458801360926</v>
      </c>
      <c r="K13" s="535">
        <f t="shared" si="1"/>
        <v>120471549.24918927</v>
      </c>
      <c r="L13" s="393"/>
    </row>
    <row r="14" spans="1:12">
      <c r="A14" s="262"/>
      <c r="B14" s="249">
        <v>6</v>
      </c>
      <c r="C14" s="534">
        <v>30257.968058109283</v>
      </c>
      <c r="D14" s="249">
        <v>2.2284219139027943</v>
      </c>
      <c r="E14" s="542">
        <v>2.2284219139027943</v>
      </c>
      <c r="F14" s="249">
        <v>99.069578631399978</v>
      </c>
      <c r="G14" s="258"/>
      <c r="H14" s="1739" t="s">
        <v>1474</v>
      </c>
      <c r="I14" s="262">
        <v>6</v>
      </c>
      <c r="J14" s="1113">
        <f t="shared" si="0"/>
        <v>2448.5974270694364</v>
      </c>
      <c r="K14" s="535">
        <f t="shared" si="1"/>
        <v>53312822.060097419</v>
      </c>
      <c r="L14" s="393"/>
    </row>
    <row r="15" spans="1:12">
      <c r="A15" s="262"/>
      <c r="B15" s="249">
        <v>7</v>
      </c>
      <c r="C15" s="534">
        <v>7778.6880111694336</v>
      </c>
      <c r="D15" s="249">
        <v>0.57288046547650651</v>
      </c>
      <c r="E15" s="542">
        <v>0.57288046547650651</v>
      </c>
      <c r="F15" s="249">
        <v>99.642459096876479</v>
      </c>
      <c r="G15" s="258"/>
      <c r="H15" s="1739"/>
      <c r="I15" s="262">
        <v>7</v>
      </c>
      <c r="J15" s="1112">
        <f t="shared" si="0"/>
        <v>629.48296506713689</v>
      </c>
      <c r="K15" s="535">
        <f>+J15*F35</f>
        <v>26607946.984983489</v>
      </c>
      <c r="L15" s="393"/>
    </row>
    <row r="16" spans="1:12">
      <c r="A16" s="262"/>
      <c r="B16" s="249">
        <v>8</v>
      </c>
      <c r="C16" s="534">
        <v>3059.3216361999512</v>
      </c>
      <c r="D16" s="249">
        <v>0.22531120935458226</v>
      </c>
      <c r="E16" s="542">
        <v>0.22531120935458226</v>
      </c>
      <c r="F16" s="249">
        <v>99.867770306231066</v>
      </c>
      <c r="G16" s="258"/>
      <c r="H16" s="1739"/>
      <c r="I16" s="262">
        <v>8</v>
      </c>
      <c r="J16" s="1112">
        <f t="shared" si="0"/>
        <v>247.57270787617949</v>
      </c>
      <c r="K16" s="535">
        <f>+J16*G35</f>
        <v>11651507.450762901</v>
      </c>
      <c r="L16" s="393"/>
    </row>
    <row r="17" spans="1:14">
      <c r="A17" s="262"/>
      <c r="B17" s="249">
        <v>9</v>
      </c>
      <c r="C17" s="534">
        <v>647.69149780273437</v>
      </c>
      <c r="D17" s="249">
        <v>4.7700821297063843E-2</v>
      </c>
      <c r="E17" s="542">
        <v>4.7700821297063843E-2</v>
      </c>
      <c r="F17" s="249">
        <v>99.915471127528136</v>
      </c>
      <c r="G17" s="258"/>
      <c r="H17" s="1739"/>
      <c r="I17" s="262">
        <v>9</v>
      </c>
      <c r="J17" s="1112">
        <f t="shared" si="0"/>
        <v>52.413821443951399</v>
      </c>
      <c r="K17" s="535">
        <f>+J17*H35</f>
        <v>2714282.819339809</v>
      </c>
      <c r="L17" s="393"/>
    </row>
    <row r="18" spans="1:14">
      <c r="A18" s="262"/>
      <c r="B18" s="249">
        <v>11</v>
      </c>
      <c r="C18" s="534">
        <v>1022.7487030029297</v>
      </c>
      <c r="D18" s="249">
        <v>7.5322824646071207E-2</v>
      </c>
      <c r="E18" s="542">
        <v>7.5322824646071207E-2</v>
      </c>
      <c r="F18" s="249">
        <v>99.990793952174201</v>
      </c>
      <c r="G18" s="258"/>
      <c r="H18" s="1739"/>
      <c r="I18" s="262">
        <v>11</v>
      </c>
      <c r="J18" s="1112">
        <f t="shared" si="0"/>
        <v>82.7649707971852</v>
      </c>
      <c r="K18" s="535">
        <f>+J18*J35</f>
        <v>5053783.484008749</v>
      </c>
      <c r="L18" s="393"/>
    </row>
    <row r="19" spans="1:14">
      <c r="A19" s="262"/>
      <c r="B19" s="249">
        <v>13</v>
      </c>
      <c r="C19" s="534">
        <v>73.291397094726563</v>
      </c>
      <c r="D19" s="249">
        <v>5.3977238350170244E-3</v>
      </c>
      <c r="E19" s="542">
        <v>5.3977238350170244E-3</v>
      </c>
      <c r="F19" s="249">
        <v>99.996191676009218</v>
      </c>
      <c r="G19" s="258"/>
      <c r="H19" s="1739"/>
      <c r="I19" s="262">
        <v>13</v>
      </c>
      <c r="J19" s="1112">
        <f t="shared" si="0"/>
        <v>5.9310369423294889</v>
      </c>
      <c r="K19" s="535">
        <f>+J19*L35</f>
        <v>416130.50354014209</v>
      </c>
      <c r="L19" s="393"/>
    </row>
    <row r="20" spans="1:14" ht="15.75" thickBot="1">
      <c r="A20" s="262"/>
      <c r="B20" s="249">
        <v>15</v>
      </c>
      <c r="C20" s="534">
        <v>51.710201263427734</v>
      </c>
      <c r="D20" s="249">
        <v>3.8083239907731859E-3</v>
      </c>
      <c r="E20" s="542">
        <v>3.8083239907731859E-3</v>
      </c>
      <c r="F20" s="249">
        <v>99.999999999999986</v>
      </c>
      <c r="G20" s="258"/>
      <c r="H20" s="1739"/>
      <c r="I20" s="263">
        <v>15</v>
      </c>
      <c r="J20" s="1111">
        <f t="shared" si="0"/>
        <v>4.1845990954748791</v>
      </c>
      <c r="K20" s="537">
        <f>+J20*N35</f>
        <v>331102.70555238152</v>
      </c>
      <c r="L20" s="393"/>
    </row>
    <row r="21" spans="1:14" ht="15.75" thickBot="1">
      <c r="A21" s="263"/>
      <c r="B21" s="166" t="s">
        <v>33</v>
      </c>
      <c r="C21" s="536">
        <v>1357820.4319987297</v>
      </c>
      <c r="D21" s="166">
        <v>100</v>
      </c>
      <c r="E21" s="166">
        <v>100</v>
      </c>
      <c r="F21" s="166"/>
      <c r="G21" s="260"/>
      <c r="I21" s="277" t="s">
        <v>33</v>
      </c>
      <c r="J21" s="1110">
        <f>+'Brick house age IHS data'!Q27</f>
        <v>109880.33333333333</v>
      </c>
      <c r="K21" s="1109">
        <f>SUM(K9:K20)</f>
        <v>1220052535.2956862</v>
      </c>
      <c r="M21" s="393"/>
    </row>
    <row r="22" spans="1:14">
      <c r="C22" s="421"/>
      <c r="J22" s="514">
        <f>+SUM(J8:J20)</f>
        <v>109880.33333333331</v>
      </c>
    </row>
    <row r="23" spans="1:14" ht="26.1" customHeight="1">
      <c r="H23" s="1638" t="s">
        <v>1473</v>
      </c>
      <c r="I23" s="1638"/>
      <c r="J23" s="1638"/>
      <c r="K23" s="1638"/>
    </row>
    <row r="24" spans="1:14" ht="33.950000000000003" customHeight="1">
      <c r="H24" s="1638"/>
      <c r="I24" s="1638"/>
      <c r="J24" s="1638"/>
      <c r="K24" s="1638"/>
    </row>
    <row r="25" spans="1:14" ht="15.75" thickBot="1">
      <c r="A25" s="1108" t="s">
        <v>1472</v>
      </c>
      <c r="B25" s="1088"/>
      <c r="C25" s="1088"/>
      <c r="D25" s="1088"/>
      <c r="E25" s="1088"/>
      <c r="F25" s="1088"/>
    </row>
    <row r="26" spans="1:14" ht="15.75" thickBot="1">
      <c r="A26" s="277" t="s">
        <v>1471</v>
      </c>
      <c r="B26" s="1072"/>
      <c r="C26" s="277" t="s">
        <v>1470</v>
      </c>
      <c r="D26" s="252"/>
      <c r="E26" s="252"/>
      <c r="F26" s="252"/>
      <c r="G26" s="252"/>
      <c r="H26" s="252"/>
      <c r="I26" s="252"/>
      <c r="J26" s="252"/>
      <c r="K26" s="252"/>
      <c r="L26" s="252"/>
      <c r="M26" s="252"/>
      <c r="N26" s="1072"/>
    </row>
    <row r="27" spans="1:14" ht="15.75" thickBot="1">
      <c r="A27" s="296" t="s">
        <v>1469</v>
      </c>
      <c r="B27" s="249">
        <v>81</v>
      </c>
      <c r="C27" s="1065" t="s">
        <v>1468</v>
      </c>
      <c r="D27" s="166"/>
      <c r="E27" s="166"/>
      <c r="F27" s="1107">
        <v>7</v>
      </c>
      <c r="G27" s="1107">
        <f t="shared" ref="G27:N27" si="2">+F27+1</f>
        <v>8</v>
      </c>
      <c r="H27" s="1107">
        <f t="shared" si="2"/>
        <v>9</v>
      </c>
      <c r="I27" s="1107">
        <f t="shared" si="2"/>
        <v>10</v>
      </c>
      <c r="J27" s="1107">
        <f t="shared" si="2"/>
        <v>11</v>
      </c>
      <c r="K27" s="1107">
        <f t="shared" si="2"/>
        <v>12</v>
      </c>
      <c r="L27" s="1107">
        <f t="shared" si="2"/>
        <v>13</v>
      </c>
      <c r="M27" s="1107">
        <f t="shared" si="2"/>
        <v>14</v>
      </c>
      <c r="N27" s="1106">
        <f t="shared" si="2"/>
        <v>15</v>
      </c>
    </row>
    <row r="28" spans="1:14">
      <c r="A28" s="296"/>
      <c r="B28" s="249"/>
      <c r="C28" s="296" t="s">
        <v>1467</v>
      </c>
      <c r="D28" s="249"/>
      <c r="E28" s="249"/>
      <c r="F28" s="249">
        <f t="shared" ref="F28:N28" si="3">+F27*$B$29*$B$29</f>
        <v>112</v>
      </c>
      <c r="G28" s="249">
        <f t="shared" si="3"/>
        <v>128</v>
      </c>
      <c r="H28" s="249">
        <f t="shared" si="3"/>
        <v>144</v>
      </c>
      <c r="I28" s="249">
        <f t="shared" si="3"/>
        <v>160</v>
      </c>
      <c r="J28" s="249">
        <f t="shared" si="3"/>
        <v>176</v>
      </c>
      <c r="K28" s="249">
        <f t="shared" si="3"/>
        <v>192</v>
      </c>
      <c r="L28" s="249">
        <f t="shared" si="3"/>
        <v>208</v>
      </c>
      <c r="M28" s="249">
        <f t="shared" si="3"/>
        <v>224</v>
      </c>
      <c r="N28" s="258">
        <f t="shared" si="3"/>
        <v>240</v>
      </c>
    </row>
    <row r="29" spans="1:14">
      <c r="A29" s="296" t="s">
        <v>1466</v>
      </c>
      <c r="B29" s="249">
        <v>4</v>
      </c>
      <c r="C29" s="296" t="s">
        <v>1465</v>
      </c>
      <c r="D29" s="249"/>
      <c r="E29" s="249"/>
      <c r="F29" s="249">
        <v>4</v>
      </c>
      <c r="G29" s="249">
        <v>4</v>
      </c>
      <c r="H29" s="249">
        <v>4</v>
      </c>
      <c r="I29" s="249">
        <v>4</v>
      </c>
      <c r="J29" s="249">
        <v>4</v>
      </c>
      <c r="K29" s="249">
        <v>4</v>
      </c>
      <c r="L29" s="249">
        <v>4</v>
      </c>
      <c r="M29" s="249">
        <v>4</v>
      </c>
      <c r="N29" s="258">
        <v>4</v>
      </c>
    </row>
    <row r="30" spans="1:14">
      <c r="A30" s="296" t="s">
        <v>1464</v>
      </c>
      <c r="B30" s="249">
        <v>2.8</v>
      </c>
      <c r="C30" s="296" t="s">
        <v>1463</v>
      </c>
      <c r="D30" s="249"/>
      <c r="E30" s="249"/>
      <c r="F30" s="249">
        <f t="shared" ref="F30:N30" si="4">+(F29+1)*F28</f>
        <v>560</v>
      </c>
      <c r="G30" s="249">
        <f t="shared" si="4"/>
        <v>640</v>
      </c>
      <c r="H30" s="249">
        <f t="shared" si="4"/>
        <v>720</v>
      </c>
      <c r="I30" s="249">
        <f t="shared" si="4"/>
        <v>800</v>
      </c>
      <c r="J30" s="249">
        <f t="shared" si="4"/>
        <v>880</v>
      </c>
      <c r="K30" s="249">
        <f t="shared" si="4"/>
        <v>960</v>
      </c>
      <c r="L30" s="249">
        <f t="shared" si="4"/>
        <v>1040</v>
      </c>
      <c r="M30" s="249">
        <f t="shared" si="4"/>
        <v>1120</v>
      </c>
      <c r="N30" s="258">
        <f t="shared" si="4"/>
        <v>1200</v>
      </c>
    </row>
    <row r="31" spans="1:14">
      <c r="A31" s="296" t="s">
        <v>1462</v>
      </c>
      <c r="B31" s="249">
        <f>4*B29*B30</f>
        <v>44.8</v>
      </c>
      <c r="C31" s="296" t="s">
        <v>1461</v>
      </c>
      <c r="D31" s="249"/>
      <c r="E31" s="249"/>
      <c r="F31" s="534">
        <f t="shared" ref="F31:N31" si="5">+SQRT(F30)*4</f>
        <v>94.657276529593858</v>
      </c>
      <c r="G31" s="534">
        <f t="shared" si="5"/>
        <v>101.19288512538814</v>
      </c>
      <c r="H31" s="534">
        <f t="shared" si="5"/>
        <v>107.33126291998991</v>
      </c>
      <c r="I31" s="534">
        <f t="shared" si="5"/>
        <v>113.13708498984761</v>
      </c>
      <c r="J31" s="534">
        <f t="shared" si="5"/>
        <v>118.65917579353061</v>
      </c>
      <c r="K31" s="534">
        <f t="shared" si="5"/>
        <v>123.93546707863734</v>
      </c>
      <c r="L31" s="534">
        <f t="shared" si="5"/>
        <v>128.99612397277679</v>
      </c>
      <c r="M31" s="534">
        <f t="shared" si="5"/>
        <v>133.86560424545209</v>
      </c>
      <c r="N31" s="535">
        <f t="shared" si="5"/>
        <v>138.5640646055102</v>
      </c>
    </row>
    <row r="32" spans="1:14">
      <c r="A32" s="296" t="s">
        <v>1460</v>
      </c>
      <c r="B32" s="249">
        <f>+B31*B27</f>
        <v>3628.7999999999997</v>
      </c>
      <c r="C32" s="296" t="s">
        <v>1459</v>
      </c>
      <c r="D32" s="249"/>
      <c r="E32" s="249"/>
      <c r="F32" s="534">
        <f t="shared" ref="F32:N32" si="6">+F31*2.2</f>
        <v>208.24600836510649</v>
      </c>
      <c r="G32" s="534">
        <f t="shared" si="6"/>
        <v>222.62434727585395</v>
      </c>
      <c r="H32" s="534">
        <f t="shared" si="6"/>
        <v>236.12877842397782</v>
      </c>
      <c r="I32" s="534">
        <f t="shared" si="6"/>
        <v>248.90158697766475</v>
      </c>
      <c r="J32" s="534">
        <f t="shared" si="6"/>
        <v>261.05018674576735</v>
      </c>
      <c r="K32" s="534">
        <f t="shared" si="6"/>
        <v>272.65802757300219</v>
      </c>
      <c r="L32" s="534">
        <f t="shared" si="6"/>
        <v>283.79147274010893</v>
      </c>
      <c r="M32" s="534">
        <f t="shared" si="6"/>
        <v>294.50432933999463</v>
      </c>
      <c r="N32" s="535">
        <f t="shared" si="6"/>
        <v>304.84094213212245</v>
      </c>
    </row>
    <row r="33" spans="1:14">
      <c r="A33" s="296" t="s">
        <v>1458</v>
      </c>
      <c r="B33" s="249">
        <v>1</v>
      </c>
      <c r="C33" s="296" t="s">
        <v>1457</v>
      </c>
      <c r="D33" s="249"/>
      <c r="E33" s="249"/>
      <c r="F33" s="534">
        <f t="shared" ref="F33:N33" si="7">+F32*$B$27</f>
        <v>16867.926677573625</v>
      </c>
      <c r="G33" s="534">
        <f t="shared" si="7"/>
        <v>18032.572129344171</v>
      </c>
      <c r="H33" s="534">
        <f t="shared" si="7"/>
        <v>19126.431052342203</v>
      </c>
      <c r="I33" s="534">
        <f t="shared" si="7"/>
        <v>20161.028545190846</v>
      </c>
      <c r="J33" s="534">
        <f t="shared" si="7"/>
        <v>21145.065126407157</v>
      </c>
      <c r="K33" s="534">
        <f t="shared" si="7"/>
        <v>22085.300233413178</v>
      </c>
      <c r="L33" s="534">
        <f t="shared" si="7"/>
        <v>22987.109291948822</v>
      </c>
      <c r="M33" s="534">
        <f t="shared" si="7"/>
        <v>23854.850676539565</v>
      </c>
      <c r="N33" s="535">
        <f t="shared" si="7"/>
        <v>24692.116312701917</v>
      </c>
    </row>
    <row r="34" spans="1:14" ht="15.75" thickBot="1">
      <c r="A34" s="1065" t="s">
        <v>1456</v>
      </c>
      <c r="B34" s="166">
        <f>+B33*B32</f>
        <v>3628.7999999999997</v>
      </c>
      <c r="C34" s="296" t="s">
        <v>1456</v>
      </c>
      <c r="D34" s="249"/>
      <c r="E34" s="249"/>
      <c r="F34" s="534">
        <f t="shared" ref="F34:N34" si="8">+F27*$B$34</f>
        <v>25401.599999999999</v>
      </c>
      <c r="G34" s="534">
        <f t="shared" si="8"/>
        <v>29030.399999999998</v>
      </c>
      <c r="H34" s="534">
        <f t="shared" si="8"/>
        <v>32659.199999999997</v>
      </c>
      <c r="I34" s="534">
        <f t="shared" si="8"/>
        <v>36288</v>
      </c>
      <c r="J34" s="534">
        <f t="shared" si="8"/>
        <v>39916.799999999996</v>
      </c>
      <c r="K34" s="534">
        <f t="shared" si="8"/>
        <v>43545.599999999999</v>
      </c>
      <c r="L34" s="534">
        <f t="shared" si="8"/>
        <v>47174.399999999994</v>
      </c>
      <c r="M34" s="534">
        <f t="shared" si="8"/>
        <v>50803.199999999997</v>
      </c>
      <c r="N34" s="535">
        <f t="shared" si="8"/>
        <v>54431.999999999993</v>
      </c>
    </row>
    <row r="35" spans="1:14" ht="15.75" thickBot="1">
      <c r="C35" s="1065" t="s">
        <v>1455</v>
      </c>
      <c r="D35" s="166"/>
      <c r="E35" s="166"/>
      <c r="F35" s="536">
        <f t="shared" ref="F35:N35" si="9">+F34+F33</f>
        <v>42269.526677573624</v>
      </c>
      <c r="G35" s="536">
        <f t="shared" si="9"/>
        <v>47062.972129344169</v>
      </c>
      <c r="H35" s="536">
        <f t="shared" si="9"/>
        <v>51785.6310523422</v>
      </c>
      <c r="I35" s="536">
        <f t="shared" si="9"/>
        <v>56449.028545190842</v>
      </c>
      <c r="J35" s="536">
        <f t="shared" si="9"/>
        <v>61061.865126407152</v>
      </c>
      <c r="K35" s="536">
        <f t="shared" si="9"/>
        <v>65630.90023341318</v>
      </c>
      <c r="L35" s="536">
        <f t="shared" si="9"/>
        <v>70161.509291948809</v>
      </c>
      <c r="M35" s="536">
        <f t="shared" si="9"/>
        <v>74658.050676539569</v>
      </c>
      <c r="N35" s="537">
        <f t="shared" si="9"/>
        <v>79124.11631270191</v>
      </c>
    </row>
    <row r="38" spans="1:14">
      <c r="C38" s="514"/>
    </row>
    <row r="39" spans="1:14" ht="36" customHeight="1"/>
    <row r="51" spans="1:3">
      <c r="A51" s="145"/>
    </row>
    <row r="62" spans="1:3">
      <c r="C62" s="514"/>
    </row>
    <row r="79" spans="3:3">
      <c r="C79" s="514"/>
    </row>
    <row r="97" spans="3:3">
      <c r="C97" s="514"/>
    </row>
    <row r="116" spans="3:3">
      <c r="C116" s="514"/>
    </row>
    <row r="135" spans="3:3">
      <c r="C135" s="514"/>
    </row>
    <row r="154" spans="3:3">
      <c r="C154" s="514"/>
    </row>
  </sheetData>
  <mergeCells count="2">
    <mergeCell ref="H14:H20"/>
    <mergeCell ref="H23:K24"/>
  </mergeCells>
  <pageMargins left="0.7" right="0.7" top="0.75" bottom="0.75" header="0.3" footer="0.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DB646"/>
  </sheetPr>
  <dimension ref="A1:BX100"/>
  <sheetViews>
    <sheetView workbookViewId="0"/>
  </sheetViews>
  <sheetFormatPr defaultColWidth="8.85546875" defaultRowHeight="15"/>
  <cols>
    <col min="17" max="17" width="10.85546875" bestFit="1" customWidth="1"/>
  </cols>
  <sheetData>
    <row r="1" spans="1:9" ht="24.75">
      <c r="A1" s="1262" t="s">
        <v>1444</v>
      </c>
      <c r="B1" s="1262"/>
      <c r="C1" s="1262"/>
      <c r="D1" s="1262"/>
      <c r="E1" s="1262"/>
      <c r="F1" s="1262"/>
      <c r="G1" s="1273"/>
      <c r="H1" s="1273"/>
      <c r="I1" s="1273"/>
    </row>
    <row r="3" spans="1:9" ht="15.75" thickBot="1"/>
    <row r="4" spans="1:9" ht="48.95" customHeight="1" thickBot="1">
      <c r="A4" s="1740" t="s">
        <v>1443</v>
      </c>
      <c r="B4" s="1741"/>
      <c r="C4" s="1741"/>
      <c r="D4" s="1741"/>
      <c r="E4" s="1742"/>
    </row>
    <row r="5" spans="1:9" ht="25.5" thickTop="1" thickBot="1">
      <c r="A5" s="1087"/>
      <c r="B5" s="134" t="s">
        <v>573</v>
      </c>
      <c r="C5" s="134" t="s">
        <v>574</v>
      </c>
      <c r="D5" s="134" t="s">
        <v>575</v>
      </c>
      <c r="E5" s="1086" t="s">
        <v>576</v>
      </c>
    </row>
    <row r="6" spans="1:9" ht="15.75" thickTop="1">
      <c r="A6" s="1085" t="s">
        <v>1442</v>
      </c>
      <c r="B6" s="977">
        <v>17248</v>
      </c>
      <c r="C6" s="137">
        <v>0.6</v>
      </c>
      <c r="D6" s="137">
        <v>0.6</v>
      </c>
      <c r="E6" s="1083">
        <v>0.6</v>
      </c>
    </row>
    <row r="7" spans="1:9">
      <c r="A7" s="1084" t="s">
        <v>1441</v>
      </c>
      <c r="B7" s="977">
        <v>182468</v>
      </c>
      <c r="C7" s="137">
        <v>5.9</v>
      </c>
      <c r="D7" s="137">
        <v>5.9</v>
      </c>
      <c r="E7" s="1083">
        <v>6.5</v>
      </c>
    </row>
    <row r="8" spans="1:9" ht="24">
      <c r="A8" s="1084" t="s">
        <v>1440</v>
      </c>
      <c r="B8" s="977">
        <v>425659</v>
      </c>
      <c r="C8" s="137">
        <v>13.9</v>
      </c>
      <c r="D8" s="137">
        <v>13.9</v>
      </c>
      <c r="E8" s="1083">
        <v>20.399999999999999</v>
      </c>
    </row>
    <row r="9" spans="1:9">
      <c r="A9" s="1084" t="s">
        <v>1439</v>
      </c>
      <c r="B9" s="977">
        <v>978185</v>
      </c>
      <c r="C9" s="137">
        <v>31.8</v>
      </c>
      <c r="D9" s="137">
        <v>31.8</v>
      </c>
      <c r="E9" s="1083">
        <v>52.2</v>
      </c>
    </row>
    <row r="10" spans="1:9" ht="24">
      <c r="A10" s="1084" t="s">
        <v>1438</v>
      </c>
      <c r="B10" s="977">
        <v>1357820</v>
      </c>
      <c r="C10" s="137">
        <v>44.2</v>
      </c>
      <c r="D10" s="137">
        <v>44.2</v>
      </c>
      <c r="E10" s="1083">
        <v>96.4</v>
      </c>
    </row>
    <row r="11" spans="1:9">
      <c r="A11" s="1084" t="s">
        <v>1437</v>
      </c>
      <c r="B11" s="977">
        <v>97922</v>
      </c>
      <c r="C11" s="137">
        <v>3.2</v>
      </c>
      <c r="D11" s="137">
        <v>3.2</v>
      </c>
      <c r="E11" s="1083">
        <v>99.6</v>
      </c>
    </row>
    <row r="12" spans="1:9">
      <c r="A12" s="1084" t="s">
        <v>861</v>
      </c>
      <c r="B12" s="977">
        <v>9919</v>
      </c>
      <c r="C12" s="137">
        <v>0.3</v>
      </c>
      <c r="D12" s="137">
        <v>0.3</v>
      </c>
      <c r="E12" s="1083">
        <v>99.9</v>
      </c>
    </row>
    <row r="13" spans="1:9" ht="24">
      <c r="A13" s="1084" t="s">
        <v>1436</v>
      </c>
      <c r="B13" s="977">
        <v>831</v>
      </c>
      <c r="C13" s="137">
        <v>0</v>
      </c>
      <c r="D13" s="137">
        <v>0</v>
      </c>
      <c r="E13" s="1083">
        <v>99.9</v>
      </c>
    </row>
    <row r="14" spans="1:9" ht="24">
      <c r="A14" s="1084" t="s">
        <v>587</v>
      </c>
      <c r="B14" s="977">
        <v>2472</v>
      </c>
      <c r="C14" s="137">
        <v>0.1</v>
      </c>
      <c r="D14" s="137">
        <v>0.1</v>
      </c>
      <c r="E14" s="1083">
        <v>100</v>
      </c>
    </row>
    <row r="15" spans="1:9" ht="15.75" thickBot="1">
      <c r="A15" s="1082" t="s">
        <v>33</v>
      </c>
      <c r="B15" s="1081" t="s">
        <v>1435</v>
      </c>
      <c r="C15" s="1080">
        <v>100</v>
      </c>
      <c r="D15" s="1080">
        <v>100</v>
      </c>
      <c r="E15" s="1079" t="s">
        <v>104</v>
      </c>
    </row>
    <row r="19" spans="1:62">
      <c r="C19" t="s">
        <v>1434</v>
      </c>
      <c r="P19" t="s">
        <v>33</v>
      </c>
    </row>
    <row r="20" spans="1:62">
      <c r="A20" t="s">
        <v>104</v>
      </c>
      <c r="C20">
        <v>0</v>
      </c>
      <c r="D20">
        <v>1</v>
      </c>
      <c r="E20">
        <v>2</v>
      </c>
      <c r="F20">
        <v>3</v>
      </c>
      <c r="G20">
        <v>4</v>
      </c>
      <c r="H20">
        <v>5</v>
      </c>
      <c r="I20">
        <v>6</v>
      </c>
      <c r="J20">
        <v>7</v>
      </c>
      <c r="K20">
        <v>8</v>
      </c>
      <c r="L20">
        <v>9</v>
      </c>
      <c r="M20">
        <v>11</v>
      </c>
      <c r="N20">
        <v>13</v>
      </c>
      <c r="O20">
        <v>15</v>
      </c>
      <c r="R20">
        <v>0</v>
      </c>
      <c r="S20">
        <v>1</v>
      </c>
      <c r="T20">
        <v>2</v>
      </c>
      <c r="U20">
        <v>3</v>
      </c>
      <c r="V20">
        <v>4</v>
      </c>
      <c r="W20">
        <v>5</v>
      </c>
      <c r="X20">
        <v>6</v>
      </c>
      <c r="Y20">
        <v>7</v>
      </c>
      <c r="Z20">
        <v>8</v>
      </c>
      <c r="AA20">
        <v>9</v>
      </c>
      <c r="AB20">
        <v>11</v>
      </c>
      <c r="AC20">
        <v>13</v>
      </c>
      <c r="AD20">
        <v>15</v>
      </c>
    </row>
    <row r="21" spans="1:62">
      <c r="A21" s="1642" t="s">
        <v>1433</v>
      </c>
      <c r="B21">
        <v>0</v>
      </c>
      <c r="C21">
        <v>0</v>
      </c>
      <c r="D21">
        <v>0</v>
      </c>
      <c r="E21">
        <v>820</v>
      </c>
      <c r="F21">
        <v>2358</v>
      </c>
      <c r="G21">
        <v>1177</v>
      </c>
      <c r="H21">
        <v>338</v>
      </c>
      <c r="I21">
        <v>0</v>
      </c>
      <c r="J21">
        <v>0</v>
      </c>
      <c r="K21">
        <v>0</v>
      </c>
      <c r="L21">
        <v>0</v>
      </c>
      <c r="M21">
        <v>0</v>
      </c>
      <c r="N21">
        <v>0</v>
      </c>
      <c r="O21">
        <v>0</v>
      </c>
      <c r="P21">
        <v>4693</v>
      </c>
      <c r="R21" s="754">
        <f t="shared" ref="R21:R52" si="0">+C21/C$80</f>
        <v>0</v>
      </c>
      <c r="S21" s="754">
        <f t="shared" ref="S21:S52" si="1">+D21/D$80</f>
        <v>0</v>
      </c>
      <c r="T21" s="754">
        <f t="shared" ref="T21:T52" si="2">+E21/E$80</f>
        <v>2.3870447512670261E-3</v>
      </c>
      <c r="U21" s="754">
        <f t="shared" ref="U21:U52" si="3">+F21/F$80</f>
        <v>5.0649225118407065E-3</v>
      </c>
      <c r="V21" s="754">
        <f t="shared" ref="V21:V52" si="4">+G21/G$80</f>
        <v>3.9172094292589249E-3</v>
      </c>
      <c r="W21" s="754">
        <f t="shared" ref="W21:W52" si="5">+H21/H$80</f>
        <v>4.1452048074564632E-3</v>
      </c>
      <c r="X21" s="754">
        <f t="shared" ref="X21:X52" si="6">+I21/I$80</f>
        <v>0</v>
      </c>
      <c r="Y21" s="754">
        <f t="shared" ref="Y21:Y52" si="7">+J21/J$80</f>
        <v>0</v>
      </c>
      <c r="Z21" s="754">
        <f t="shared" ref="Z21:Z52" si="8">+K21/K$80</f>
        <v>0</v>
      </c>
      <c r="AA21" s="754">
        <f t="shared" ref="AA21:AA52" si="9">+L21/L$80</f>
        <v>0</v>
      </c>
      <c r="AB21" s="754">
        <f t="shared" ref="AB21:AB52" si="10">+M21/M$80</f>
        <v>0</v>
      </c>
      <c r="AC21" s="754">
        <f t="shared" ref="AC21:AC52" si="11">+N21/N$80</f>
        <v>0</v>
      </c>
      <c r="AD21" s="754">
        <f t="shared" ref="AD21:AD52" si="12">+O21/O$80</f>
        <v>0</v>
      </c>
      <c r="AE21" s="754">
        <f t="shared" ref="AE21:AE52" si="13">+P21/P$80</f>
        <v>3.4631440448017049E-3</v>
      </c>
      <c r="BJ21" t="s">
        <v>33</v>
      </c>
    </row>
    <row r="22" spans="1:62">
      <c r="A22" s="1642"/>
      <c r="B22">
        <v>1</v>
      </c>
      <c r="C22">
        <v>306</v>
      </c>
      <c r="D22">
        <v>6221</v>
      </c>
      <c r="E22">
        <v>18553</v>
      </c>
      <c r="F22">
        <v>30901</v>
      </c>
      <c r="G22">
        <v>16754</v>
      </c>
      <c r="H22">
        <v>3510</v>
      </c>
      <c r="I22">
        <v>1996</v>
      </c>
      <c r="J22">
        <v>456</v>
      </c>
      <c r="K22">
        <v>523</v>
      </c>
      <c r="L22">
        <v>0</v>
      </c>
      <c r="M22">
        <v>0</v>
      </c>
      <c r="N22">
        <v>0</v>
      </c>
      <c r="O22">
        <v>0</v>
      </c>
      <c r="P22" s="133">
        <v>79220</v>
      </c>
      <c r="R22" s="754">
        <f t="shared" si="0"/>
        <v>4.0642847655731174E-2</v>
      </c>
      <c r="S22" s="754">
        <f t="shared" si="1"/>
        <v>5.4359888501498588E-2</v>
      </c>
      <c r="T22" s="754">
        <f t="shared" si="2"/>
        <v>5.4008343012508696E-2</v>
      </c>
      <c r="U22" s="754">
        <f t="shared" si="3"/>
        <v>6.6374542213057539E-2</v>
      </c>
      <c r="V22" s="754">
        <f t="shared" si="4"/>
        <v>5.5759495987938855E-2</v>
      </c>
      <c r="W22" s="754">
        <f t="shared" si="5"/>
        <v>4.3046357615894038E-2</v>
      </c>
      <c r="X22" s="754">
        <f t="shared" si="6"/>
        <v>6.7810429760489219E-2</v>
      </c>
      <c r="Y22" s="754">
        <f t="shared" si="7"/>
        <v>5.8611825192802058E-2</v>
      </c>
      <c r="Z22" s="754">
        <f t="shared" si="8"/>
        <v>0.170859196341065</v>
      </c>
      <c r="AA22" s="754">
        <f t="shared" si="9"/>
        <v>0</v>
      </c>
      <c r="AB22" s="754">
        <f t="shared" si="10"/>
        <v>0</v>
      </c>
      <c r="AC22" s="754">
        <f t="shared" si="11"/>
        <v>0</v>
      </c>
      <c r="AD22" s="754">
        <f t="shared" si="12"/>
        <v>0</v>
      </c>
      <c r="AE22" s="754">
        <f t="shared" si="13"/>
        <v>5.8459465422798014E-2</v>
      </c>
    </row>
    <row r="23" spans="1:62">
      <c r="A23" s="1642"/>
      <c r="B23">
        <v>2</v>
      </c>
      <c r="C23">
        <v>614</v>
      </c>
      <c r="D23">
        <v>10178</v>
      </c>
      <c r="E23">
        <v>27405</v>
      </c>
      <c r="F23">
        <v>47219</v>
      </c>
      <c r="G23">
        <v>30193</v>
      </c>
      <c r="H23">
        <v>9022</v>
      </c>
      <c r="I23">
        <v>1846</v>
      </c>
      <c r="J23">
        <v>0</v>
      </c>
      <c r="K23">
        <v>0</v>
      </c>
      <c r="L23">
        <v>0</v>
      </c>
      <c r="M23">
        <v>0</v>
      </c>
      <c r="N23">
        <v>73</v>
      </c>
      <c r="O23">
        <v>0</v>
      </c>
      <c r="P23" s="133">
        <v>126550</v>
      </c>
      <c r="R23" s="754">
        <f t="shared" si="0"/>
        <v>8.1551334838623993E-2</v>
      </c>
      <c r="S23" s="754">
        <f t="shared" si="1"/>
        <v>8.8936657316870699E-2</v>
      </c>
      <c r="T23" s="754">
        <f t="shared" si="2"/>
        <v>7.9776782205454685E-2</v>
      </c>
      <c r="U23" s="754">
        <f t="shared" si="3"/>
        <v>0.10142518069830632</v>
      </c>
      <c r="V23" s="754">
        <f t="shared" si="4"/>
        <v>0.10048623984504225</v>
      </c>
      <c r="W23" s="754">
        <f t="shared" si="5"/>
        <v>0.11064508216826098</v>
      </c>
      <c r="X23" s="754">
        <f t="shared" si="6"/>
        <v>6.2714455580091727E-2</v>
      </c>
      <c r="Y23" s="754">
        <f t="shared" si="7"/>
        <v>0</v>
      </c>
      <c r="Z23" s="754">
        <f t="shared" si="8"/>
        <v>0</v>
      </c>
      <c r="AA23" s="754">
        <f t="shared" si="9"/>
        <v>0</v>
      </c>
      <c r="AB23" s="754">
        <f t="shared" si="10"/>
        <v>0</v>
      </c>
      <c r="AC23" s="754">
        <f t="shared" si="11"/>
        <v>1</v>
      </c>
      <c r="AD23" s="754">
        <f t="shared" si="12"/>
        <v>0</v>
      </c>
      <c r="AE23" s="754">
        <f t="shared" si="13"/>
        <v>9.3386081156969059E-2</v>
      </c>
      <c r="BJ23">
        <v>7529</v>
      </c>
    </row>
    <row r="24" spans="1:62">
      <c r="A24" s="1642"/>
      <c r="B24">
        <v>3</v>
      </c>
      <c r="C24">
        <v>0</v>
      </c>
      <c r="D24">
        <v>10900</v>
      </c>
      <c r="E24">
        <v>44289</v>
      </c>
      <c r="F24">
        <v>54490</v>
      </c>
      <c r="G24">
        <v>32832</v>
      </c>
      <c r="H24">
        <v>7899</v>
      </c>
      <c r="I24">
        <v>4851</v>
      </c>
      <c r="J24">
        <v>0</v>
      </c>
      <c r="K24">
        <v>248</v>
      </c>
      <c r="L24">
        <v>0</v>
      </c>
      <c r="M24">
        <v>0</v>
      </c>
      <c r="N24">
        <v>0</v>
      </c>
      <c r="O24">
        <v>0</v>
      </c>
      <c r="P24" s="133">
        <v>155509</v>
      </c>
      <c r="R24" s="754">
        <f t="shared" si="0"/>
        <v>0</v>
      </c>
      <c r="S24" s="754">
        <f t="shared" si="1"/>
        <v>9.524558506129796E-2</v>
      </c>
      <c r="T24" s="754">
        <f t="shared" si="2"/>
        <v>0.12892661584007964</v>
      </c>
      <c r="U24" s="754">
        <f t="shared" si="3"/>
        <v>0.11704309909677696</v>
      </c>
      <c r="V24" s="754">
        <f t="shared" si="4"/>
        <v>0.10926917585507989</v>
      </c>
      <c r="W24" s="754">
        <f t="shared" si="5"/>
        <v>9.687270051508462E-2</v>
      </c>
      <c r="X24" s="754">
        <f t="shared" si="6"/>
        <v>0.1648038049940547</v>
      </c>
      <c r="Y24" s="754">
        <f t="shared" si="7"/>
        <v>0</v>
      </c>
      <c r="Z24" s="754">
        <f t="shared" si="8"/>
        <v>8.1019274746814765E-2</v>
      </c>
      <c r="AA24" s="754">
        <f t="shared" si="9"/>
        <v>0</v>
      </c>
      <c r="AB24" s="754">
        <f t="shared" si="10"/>
        <v>0</v>
      </c>
      <c r="AC24" s="754">
        <f t="shared" si="11"/>
        <v>0</v>
      </c>
      <c r="AD24" s="754">
        <f t="shared" si="12"/>
        <v>0</v>
      </c>
      <c r="AE24" s="754">
        <f t="shared" si="13"/>
        <v>0.11475603393630265</v>
      </c>
      <c r="BJ24">
        <v>114441</v>
      </c>
    </row>
    <row r="25" spans="1:62">
      <c r="A25" s="1642"/>
      <c r="B25">
        <v>4</v>
      </c>
      <c r="C25">
        <v>0</v>
      </c>
      <c r="D25">
        <v>8029</v>
      </c>
      <c r="E25">
        <v>29291</v>
      </c>
      <c r="F25">
        <v>48573</v>
      </c>
      <c r="G25">
        <v>24440</v>
      </c>
      <c r="H25">
        <v>5010</v>
      </c>
      <c r="I25">
        <v>3585</v>
      </c>
      <c r="J25">
        <v>676</v>
      </c>
      <c r="K25">
        <v>0</v>
      </c>
      <c r="L25">
        <v>0</v>
      </c>
      <c r="M25">
        <v>0</v>
      </c>
      <c r="N25">
        <v>0</v>
      </c>
      <c r="O25">
        <v>0</v>
      </c>
      <c r="P25" s="133">
        <v>119604</v>
      </c>
      <c r="R25" s="754">
        <f t="shared" si="0"/>
        <v>0</v>
      </c>
      <c r="S25" s="754">
        <f t="shared" si="1"/>
        <v>7.0158422243776275E-2</v>
      </c>
      <c r="T25" s="754">
        <f t="shared" si="2"/>
        <v>8.5266985133368847E-2</v>
      </c>
      <c r="U25" s="754">
        <f t="shared" si="3"/>
        <v>0.10433353739085607</v>
      </c>
      <c r="V25" s="754">
        <f t="shared" si="4"/>
        <v>8.1339505905767315E-2</v>
      </c>
      <c r="W25" s="754">
        <f t="shared" si="5"/>
        <v>6.1442236938925678E-2</v>
      </c>
      <c r="X25" s="754">
        <f t="shared" si="6"/>
        <v>0.12179378291149992</v>
      </c>
      <c r="Y25" s="754">
        <f t="shared" si="7"/>
        <v>8.6889460154241649E-2</v>
      </c>
      <c r="Z25" s="754">
        <f t="shared" si="8"/>
        <v>0</v>
      </c>
      <c r="AA25" s="754">
        <f t="shared" si="9"/>
        <v>0</v>
      </c>
      <c r="AB25" s="754">
        <f t="shared" si="10"/>
        <v>0</v>
      </c>
      <c r="AC25" s="754">
        <f t="shared" si="11"/>
        <v>0</v>
      </c>
      <c r="AD25" s="754">
        <f t="shared" si="12"/>
        <v>0</v>
      </c>
      <c r="AE25" s="754">
        <f t="shared" si="13"/>
        <v>8.8260362312904989E-2</v>
      </c>
      <c r="BJ25">
        <v>343521</v>
      </c>
    </row>
    <row r="26" spans="1:62">
      <c r="A26" s="1642"/>
      <c r="B26">
        <v>5</v>
      </c>
      <c r="C26">
        <v>306</v>
      </c>
      <c r="D26">
        <v>6551</v>
      </c>
      <c r="E26">
        <v>23760</v>
      </c>
      <c r="F26">
        <v>38226</v>
      </c>
      <c r="G26">
        <v>26218</v>
      </c>
      <c r="H26">
        <v>6662</v>
      </c>
      <c r="I26">
        <v>1899</v>
      </c>
      <c r="J26">
        <v>793</v>
      </c>
      <c r="K26">
        <v>72</v>
      </c>
      <c r="L26">
        <v>0</v>
      </c>
      <c r="M26">
        <v>230</v>
      </c>
      <c r="N26">
        <v>0</v>
      </c>
      <c r="O26">
        <v>0</v>
      </c>
      <c r="P26" s="133">
        <v>104717</v>
      </c>
      <c r="R26" s="754">
        <f t="shared" si="0"/>
        <v>4.0642847655731174E-2</v>
      </c>
      <c r="S26" s="754">
        <f t="shared" si="1"/>
        <v>5.7243470434547056E-2</v>
      </c>
      <c r="T26" s="754">
        <f t="shared" si="2"/>
        <v>6.9166077183054314E-2</v>
      </c>
      <c r="U26" s="754">
        <f t="shared" si="3"/>
        <v>8.2108451203402391E-2</v>
      </c>
      <c r="V26" s="754">
        <f t="shared" si="4"/>
        <v>8.7256921679108326E-2</v>
      </c>
      <c r="W26" s="754">
        <f t="shared" si="5"/>
        <v>8.1702232033357858E-2</v>
      </c>
      <c r="X26" s="754">
        <f t="shared" si="6"/>
        <v>6.4515033123832166E-2</v>
      </c>
      <c r="Y26" s="754">
        <f t="shared" si="7"/>
        <v>0.1019280205655527</v>
      </c>
      <c r="Z26" s="754">
        <f t="shared" si="8"/>
        <v>2.3521724926494611E-2</v>
      </c>
      <c r="AA26" s="754">
        <f t="shared" si="9"/>
        <v>0</v>
      </c>
      <c r="AB26" s="754">
        <f t="shared" si="10"/>
        <v>0.22482893450635386</v>
      </c>
      <c r="AC26" s="754">
        <f t="shared" si="11"/>
        <v>0</v>
      </c>
      <c r="AD26" s="754">
        <f t="shared" si="12"/>
        <v>0</v>
      </c>
      <c r="AE26" s="754">
        <f t="shared" si="13"/>
        <v>7.7274676100468814E-2</v>
      </c>
      <c r="BJ26">
        <v>465555</v>
      </c>
    </row>
    <row r="27" spans="1:62">
      <c r="A27" s="1642"/>
      <c r="B27">
        <v>6</v>
      </c>
      <c r="C27">
        <v>39</v>
      </c>
      <c r="D27">
        <v>3817</v>
      </c>
      <c r="E27">
        <v>16667</v>
      </c>
      <c r="F27">
        <v>30187</v>
      </c>
      <c r="G27">
        <v>17054</v>
      </c>
      <c r="H27">
        <v>4765</v>
      </c>
      <c r="I27">
        <v>765</v>
      </c>
      <c r="J27">
        <v>324</v>
      </c>
      <c r="K27">
        <v>64</v>
      </c>
      <c r="L27">
        <v>0</v>
      </c>
      <c r="M27">
        <v>0</v>
      </c>
      <c r="N27">
        <v>0</v>
      </c>
      <c r="O27">
        <v>0</v>
      </c>
      <c r="P27" s="133">
        <v>73682</v>
      </c>
      <c r="Q27" s="1078">
        <f>+AVERAGE(P22:P27)</f>
        <v>109880.33333333333</v>
      </c>
      <c r="R27" s="754">
        <f t="shared" si="0"/>
        <v>5.1799707796520121E-3</v>
      </c>
      <c r="S27" s="754">
        <f t="shared" si="1"/>
        <v>3.3353431025593974E-2</v>
      </c>
      <c r="T27" s="754">
        <f t="shared" si="2"/>
        <v>4.8518140084594534E-2</v>
      </c>
      <c r="U27" s="754">
        <f t="shared" si="3"/>
        <v>6.4840888831609586E-2</v>
      </c>
      <c r="V27" s="754">
        <f t="shared" si="4"/>
        <v>5.6757935094801794E-2</v>
      </c>
      <c r="W27" s="754">
        <f t="shared" si="5"/>
        <v>5.8437576649497176E-2</v>
      </c>
      <c r="X27" s="754">
        <f t="shared" si="6"/>
        <v>2.598946832002718E-2</v>
      </c>
      <c r="Y27" s="754">
        <f t="shared" si="7"/>
        <v>4.16452442159383E-2</v>
      </c>
      <c r="Z27" s="754">
        <f t="shared" si="8"/>
        <v>2.0908199934661875E-2</v>
      </c>
      <c r="AA27" s="754">
        <f t="shared" si="9"/>
        <v>0</v>
      </c>
      <c r="AB27" s="754">
        <f t="shared" si="10"/>
        <v>0</v>
      </c>
      <c r="AC27" s="754">
        <f t="shared" si="11"/>
        <v>0</v>
      </c>
      <c r="AD27" s="754">
        <f t="shared" si="12"/>
        <v>0</v>
      </c>
      <c r="AE27" s="754">
        <f t="shared" si="13"/>
        <v>5.4372763585995999E-2</v>
      </c>
      <c r="BJ27">
        <v>300469</v>
      </c>
    </row>
    <row r="28" spans="1:62">
      <c r="A28" s="1642"/>
      <c r="B28">
        <v>7</v>
      </c>
      <c r="C28">
        <v>0</v>
      </c>
      <c r="D28">
        <v>4954</v>
      </c>
      <c r="E28">
        <v>15407</v>
      </c>
      <c r="F28">
        <v>20492</v>
      </c>
      <c r="G28">
        <v>23365</v>
      </c>
      <c r="H28">
        <v>3068</v>
      </c>
      <c r="I28">
        <v>2131</v>
      </c>
      <c r="J28">
        <v>539</v>
      </c>
      <c r="K28">
        <v>281</v>
      </c>
      <c r="L28">
        <v>0</v>
      </c>
      <c r="M28">
        <v>0</v>
      </c>
      <c r="N28">
        <v>0</v>
      </c>
      <c r="O28">
        <v>0</v>
      </c>
      <c r="P28">
        <v>70237</v>
      </c>
      <c r="R28" s="754">
        <f t="shared" si="0"/>
        <v>0</v>
      </c>
      <c r="S28" s="754">
        <f t="shared" si="1"/>
        <v>4.3288681504006429E-2</v>
      </c>
      <c r="T28" s="754">
        <f t="shared" si="2"/>
        <v>4.4850242052159837E-2</v>
      </c>
      <c r="U28" s="754">
        <f t="shared" si="3"/>
        <v>4.4016281642340865E-2</v>
      </c>
      <c r="V28" s="754">
        <f t="shared" si="4"/>
        <v>7.7761765772841787E-2</v>
      </c>
      <c r="W28" s="754">
        <f t="shared" si="5"/>
        <v>3.7625705175374051E-2</v>
      </c>
      <c r="X28" s="754">
        <f t="shared" si="6"/>
        <v>7.2396806522846954E-2</v>
      </c>
      <c r="Y28" s="754">
        <f t="shared" si="7"/>
        <v>6.9280205655526991E-2</v>
      </c>
      <c r="Z28" s="754">
        <f t="shared" si="8"/>
        <v>9.1800065338124792E-2</v>
      </c>
      <c r="AA28" s="754">
        <f t="shared" si="9"/>
        <v>0</v>
      </c>
      <c r="AB28" s="754">
        <f t="shared" si="10"/>
        <v>0</v>
      </c>
      <c r="AC28" s="754">
        <f t="shared" si="11"/>
        <v>0</v>
      </c>
      <c r="AD28" s="754">
        <f t="shared" si="12"/>
        <v>0</v>
      </c>
      <c r="AE28" s="754">
        <f t="shared" si="13"/>
        <v>5.1830566433994744E-2</v>
      </c>
      <c r="BJ28">
        <v>81540</v>
      </c>
    </row>
    <row r="29" spans="1:62">
      <c r="A29" s="1642"/>
      <c r="B29">
        <v>8</v>
      </c>
      <c r="C29">
        <v>0</v>
      </c>
      <c r="D29">
        <v>3290</v>
      </c>
      <c r="E29">
        <v>12139</v>
      </c>
      <c r="F29">
        <v>14455</v>
      </c>
      <c r="G29">
        <v>10897</v>
      </c>
      <c r="H29">
        <v>2016</v>
      </c>
      <c r="I29">
        <v>749</v>
      </c>
      <c r="J29">
        <v>347</v>
      </c>
      <c r="K29">
        <v>879</v>
      </c>
      <c r="L29">
        <v>0</v>
      </c>
      <c r="M29">
        <v>0</v>
      </c>
      <c r="N29">
        <v>0</v>
      </c>
      <c r="O29">
        <v>0</v>
      </c>
      <c r="P29">
        <v>44772</v>
      </c>
      <c r="R29" s="754">
        <f t="shared" si="0"/>
        <v>0</v>
      </c>
      <c r="S29" s="754">
        <f t="shared" si="1"/>
        <v>2.8748438059786264E-2</v>
      </c>
      <c r="T29" s="754">
        <f t="shared" si="2"/>
        <v>3.5336995409305398E-2</v>
      </c>
      <c r="U29" s="754">
        <f t="shared" si="3"/>
        <v>3.1048963065588384E-2</v>
      </c>
      <c r="V29" s="754">
        <f t="shared" si="4"/>
        <v>3.6266636491618105E-2</v>
      </c>
      <c r="W29" s="754">
        <f t="shared" si="5"/>
        <v>2.4724061810154525E-2</v>
      </c>
      <c r="X29" s="754">
        <f t="shared" si="6"/>
        <v>2.5445897740784779E-2</v>
      </c>
      <c r="Y29" s="754">
        <f t="shared" si="7"/>
        <v>4.4601542416452443E-2</v>
      </c>
      <c r="Z29" s="754">
        <f t="shared" si="8"/>
        <v>0.28716105847762169</v>
      </c>
      <c r="AA29" s="754">
        <f t="shared" si="9"/>
        <v>0</v>
      </c>
      <c r="AB29" s="754">
        <f t="shared" si="10"/>
        <v>0</v>
      </c>
      <c r="AC29" s="754">
        <f t="shared" si="11"/>
        <v>0</v>
      </c>
      <c r="AD29" s="754">
        <f t="shared" si="12"/>
        <v>0</v>
      </c>
      <c r="AE29" s="754">
        <f t="shared" si="13"/>
        <v>3.3038969779216262E-2</v>
      </c>
      <c r="BJ29">
        <v>29435</v>
      </c>
    </row>
    <row r="30" spans="1:62">
      <c r="A30" s="1642"/>
      <c r="B30">
        <v>9</v>
      </c>
      <c r="C30">
        <v>0</v>
      </c>
      <c r="D30">
        <v>807</v>
      </c>
      <c r="E30">
        <v>10814</v>
      </c>
      <c r="F30">
        <v>7953</v>
      </c>
      <c r="G30">
        <v>8905</v>
      </c>
      <c r="H30">
        <v>964</v>
      </c>
      <c r="I30">
        <v>738</v>
      </c>
      <c r="J30">
        <v>0</v>
      </c>
      <c r="K30">
        <v>0</v>
      </c>
      <c r="L30">
        <v>0</v>
      </c>
      <c r="M30">
        <v>0</v>
      </c>
      <c r="N30">
        <v>0</v>
      </c>
      <c r="O30">
        <v>0</v>
      </c>
      <c r="P30">
        <v>30181</v>
      </c>
      <c r="R30" s="754">
        <f t="shared" si="0"/>
        <v>0</v>
      </c>
      <c r="S30" s="754">
        <f t="shared" si="1"/>
        <v>7.0516685453639863E-3</v>
      </c>
      <c r="T30" s="754">
        <f t="shared" si="2"/>
        <v>3.1479880414880021E-2</v>
      </c>
      <c r="U30" s="754">
        <f t="shared" si="3"/>
        <v>1.7082836614363502E-2</v>
      </c>
      <c r="V30" s="754">
        <f t="shared" si="4"/>
        <v>2.9637000822048197E-2</v>
      </c>
      <c r="W30" s="754">
        <f t="shared" si="5"/>
        <v>1.1822418444935002E-2</v>
      </c>
      <c r="X30" s="754">
        <f t="shared" si="6"/>
        <v>2.5072192967555629E-2</v>
      </c>
      <c r="Y30" s="754">
        <f t="shared" si="7"/>
        <v>0</v>
      </c>
      <c r="Z30" s="754">
        <f t="shared" si="8"/>
        <v>0</v>
      </c>
      <c r="AA30" s="754">
        <f t="shared" si="9"/>
        <v>0</v>
      </c>
      <c r="AB30" s="754">
        <f t="shared" si="10"/>
        <v>0</v>
      </c>
      <c r="AC30" s="754">
        <f t="shared" si="11"/>
        <v>0</v>
      </c>
      <c r="AD30" s="754">
        <f t="shared" si="12"/>
        <v>0</v>
      </c>
      <c r="AE30" s="754">
        <f t="shared" si="13"/>
        <v>2.2271713278534042E-2</v>
      </c>
      <c r="BJ30">
        <v>7780</v>
      </c>
    </row>
    <row r="31" spans="1:62">
      <c r="A31" s="1642"/>
      <c r="B31">
        <v>10</v>
      </c>
      <c r="C31">
        <v>242</v>
      </c>
      <c r="D31">
        <v>5508</v>
      </c>
      <c r="E31">
        <v>19036</v>
      </c>
      <c r="F31">
        <v>24083</v>
      </c>
      <c r="G31">
        <v>19069</v>
      </c>
      <c r="H31">
        <v>7364</v>
      </c>
      <c r="I31">
        <v>1224</v>
      </c>
      <c r="J31">
        <v>497</v>
      </c>
      <c r="K31">
        <v>0</v>
      </c>
      <c r="L31">
        <v>123</v>
      </c>
      <c r="M31">
        <v>0</v>
      </c>
      <c r="N31">
        <v>0</v>
      </c>
      <c r="O31">
        <v>0</v>
      </c>
      <c r="P31">
        <v>77146</v>
      </c>
      <c r="R31" s="754">
        <f t="shared" si="0"/>
        <v>3.2142382786558642E-2</v>
      </c>
      <c r="S31" s="754">
        <f t="shared" si="1"/>
        <v>4.8129603900699924E-2</v>
      </c>
      <c r="T31" s="754">
        <f t="shared" si="2"/>
        <v>5.5414370591608662E-2</v>
      </c>
      <c r="U31" s="754">
        <f t="shared" si="3"/>
        <v>5.1729656001976133E-2</v>
      </c>
      <c r="V31" s="754">
        <f t="shared" si="4"/>
        <v>6.3464117762564526E-2</v>
      </c>
      <c r="W31" s="754">
        <f t="shared" si="5"/>
        <v>9.0311503556536665E-2</v>
      </c>
      <c r="X31" s="754">
        <f t="shared" si="6"/>
        <v>4.1583149312043488E-2</v>
      </c>
      <c r="Y31" s="754">
        <f t="shared" si="7"/>
        <v>6.3881748071979438E-2</v>
      </c>
      <c r="Z31" s="754">
        <f t="shared" si="8"/>
        <v>0</v>
      </c>
      <c r="AA31" s="754">
        <f t="shared" si="9"/>
        <v>0.18981481481481483</v>
      </c>
      <c r="AB31" s="754">
        <f t="shared" si="10"/>
        <v>0</v>
      </c>
      <c r="AC31" s="754">
        <f t="shared" si="11"/>
        <v>0</v>
      </c>
      <c r="AD31" s="754">
        <f t="shared" si="12"/>
        <v>0</v>
      </c>
      <c r="AE31" s="754">
        <f t="shared" si="13"/>
        <v>5.6928981564089563E-2</v>
      </c>
      <c r="BJ31">
        <v>3061</v>
      </c>
    </row>
    <row r="32" spans="1:62">
      <c r="A32" s="1642"/>
      <c r="B32">
        <v>11</v>
      </c>
      <c r="C32">
        <v>0</v>
      </c>
      <c r="D32">
        <v>1736</v>
      </c>
      <c r="E32">
        <v>3724</v>
      </c>
      <c r="F32">
        <v>7562</v>
      </c>
      <c r="G32">
        <v>6730</v>
      </c>
      <c r="H32">
        <v>1739</v>
      </c>
      <c r="I32">
        <v>405</v>
      </c>
      <c r="J32">
        <v>0</v>
      </c>
      <c r="K32">
        <v>0</v>
      </c>
      <c r="L32">
        <v>0</v>
      </c>
      <c r="M32">
        <v>0</v>
      </c>
      <c r="N32">
        <v>0</v>
      </c>
      <c r="O32">
        <v>0</v>
      </c>
      <c r="P32">
        <v>21896</v>
      </c>
      <c r="R32" s="754">
        <f t="shared" si="0"/>
        <v>0</v>
      </c>
      <c r="S32" s="754">
        <f t="shared" si="1"/>
        <v>1.5169388593248923E-2</v>
      </c>
      <c r="T32" s="754">
        <f t="shared" si="2"/>
        <v>1.0840676406973664E-2</v>
      </c>
      <c r="U32" s="754">
        <f t="shared" si="3"/>
        <v>1.6242978810237244E-2</v>
      </c>
      <c r="V32" s="754">
        <f t="shared" si="4"/>
        <v>2.23983172972919E-2</v>
      </c>
      <c r="W32" s="754">
        <f t="shared" si="5"/>
        <v>2.1326956095168017E-2</v>
      </c>
      <c r="X32" s="754">
        <f t="shared" si="6"/>
        <v>1.3759130287073212E-2</v>
      </c>
      <c r="Y32" s="754">
        <f t="shared" si="7"/>
        <v>0</v>
      </c>
      <c r="Z32" s="754">
        <f t="shared" si="8"/>
        <v>0</v>
      </c>
      <c r="AA32" s="754">
        <f t="shared" si="9"/>
        <v>0</v>
      </c>
      <c r="AB32" s="754">
        <f t="shared" si="10"/>
        <v>0</v>
      </c>
      <c r="AC32" s="754">
        <f t="shared" si="11"/>
        <v>0</v>
      </c>
      <c r="AD32" s="754">
        <f t="shared" si="12"/>
        <v>0</v>
      </c>
      <c r="AE32" s="754">
        <f t="shared" si="13"/>
        <v>1.6157895164069493E-2</v>
      </c>
      <c r="BJ32">
        <v>648</v>
      </c>
    </row>
    <row r="33" spans="1:76">
      <c r="A33" s="1642"/>
      <c r="B33">
        <v>12</v>
      </c>
      <c r="C33">
        <v>0</v>
      </c>
      <c r="D33">
        <v>2534</v>
      </c>
      <c r="E33">
        <v>7829</v>
      </c>
      <c r="F33">
        <v>9541</v>
      </c>
      <c r="G33">
        <v>8231</v>
      </c>
      <c r="H33">
        <v>2109</v>
      </c>
      <c r="I33">
        <v>410</v>
      </c>
      <c r="J33">
        <v>1098</v>
      </c>
      <c r="K33">
        <v>0</v>
      </c>
      <c r="L33">
        <v>0</v>
      </c>
      <c r="M33">
        <v>0</v>
      </c>
      <c r="N33">
        <v>0</v>
      </c>
      <c r="O33">
        <v>0</v>
      </c>
      <c r="P33">
        <v>31752</v>
      </c>
      <c r="R33" s="754">
        <f t="shared" si="0"/>
        <v>0</v>
      </c>
      <c r="S33" s="754">
        <f t="shared" si="1"/>
        <v>2.2142413994984313E-2</v>
      </c>
      <c r="T33" s="754">
        <f t="shared" si="2"/>
        <v>2.2790455314231153E-2</v>
      </c>
      <c r="U33" s="754">
        <f t="shared" si="3"/>
        <v>2.049381920503485E-2</v>
      </c>
      <c r="V33" s="754">
        <f t="shared" si="4"/>
        <v>2.7393840961962797E-2</v>
      </c>
      <c r="W33" s="754">
        <f t="shared" si="5"/>
        <v>2.5864606328182486E-2</v>
      </c>
      <c r="X33" s="754">
        <f t="shared" si="6"/>
        <v>1.3928996093086461E-2</v>
      </c>
      <c r="Y33" s="754">
        <f t="shared" si="7"/>
        <v>0.14113110539845758</v>
      </c>
      <c r="Z33" s="754">
        <f t="shared" si="8"/>
        <v>0</v>
      </c>
      <c r="AA33" s="754">
        <f t="shared" si="9"/>
        <v>0</v>
      </c>
      <c r="AB33" s="754">
        <f t="shared" si="10"/>
        <v>0</v>
      </c>
      <c r="AC33" s="754">
        <f t="shared" si="11"/>
        <v>0</v>
      </c>
      <c r="AD33" s="754">
        <f t="shared" si="12"/>
        <v>0</v>
      </c>
      <c r="AE33" s="754">
        <f t="shared" si="13"/>
        <v>2.3431014214903841E-2</v>
      </c>
      <c r="BJ33">
        <v>1023</v>
      </c>
    </row>
    <row r="34" spans="1:76">
      <c r="A34" s="1642"/>
      <c r="B34">
        <v>13</v>
      </c>
      <c r="C34">
        <v>0</v>
      </c>
      <c r="D34">
        <v>0</v>
      </c>
      <c r="E34">
        <v>2646</v>
      </c>
      <c r="F34">
        <v>5947</v>
      </c>
      <c r="G34">
        <v>1919</v>
      </c>
      <c r="H34">
        <v>787</v>
      </c>
      <c r="I34">
        <v>966</v>
      </c>
      <c r="J34">
        <v>0</v>
      </c>
      <c r="K34">
        <v>0</v>
      </c>
      <c r="L34">
        <v>0</v>
      </c>
      <c r="M34">
        <v>0</v>
      </c>
      <c r="N34">
        <v>0</v>
      </c>
      <c r="O34">
        <v>0</v>
      </c>
      <c r="P34">
        <v>12265</v>
      </c>
      <c r="R34" s="754">
        <f t="shared" si="0"/>
        <v>0</v>
      </c>
      <c r="S34" s="754">
        <f t="shared" si="1"/>
        <v>0</v>
      </c>
      <c r="T34" s="754">
        <f t="shared" si="2"/>
        <v>7.7025858681128668E-3</v>
      </c>
      <c r="U34" s="754">
        <f t="shared" si="3"/>
        <v>1.2774000923628787E-2</v>
      </c>
      <c r="V34" s="754">
        <f t="shared" si="4"/>
        <v>6.3866821535665912E-3</v>
      </c>
      <c r="W34" s="754">
        <f t="shared" si="5"/>
        <v>9.6517046848172677E-3</v>
      </c>
      <c r="X34" s="754">
        <f t="shared" si="6"/>
        <v>3.2818073721759808E-2</v>
      </c>
      <c r="Y34" s="754">
        <f t="shared" si="7"/>
        <v>0</v>
      </c>
      <c r="Z34" s="754">
        <f t="shared" si="8"/>
        <v>0</v>
      </c>
      <c r="AA34" s="754">
        <f t="shared" si="9"/>
        <v>0</v>
      </c>
      <c r="AB34" s="754">
        <f t="shared" si="10"/>
        <v>0</v>
      </c>
      <c r="AC34" s="754">
        <f t="shared" si="11"/>
        <v>0</v>
      </c>
      <c r="AD34" s="754">
        <f t="shared" si="12"/>
        <v>0</v>
      </c>
      <c r="AE34" s="754">
        <f t="shared" si="13"/>
        <v>9.0508122116967626E-3</v>
      </c>
      <c r="BJ34">
        <v>73</v>
      </c>
    </row>
    <row r="35" spans="1:76">
      <c r="B35">
        <v>14</v>
      </c>
      <c r="C35">
        <v>0</v>
      </c>
      <c r="D35">
        <v>1265</v>
      </c>
      <c r="E35">
        <v>4867</v>
      </c>
      <c r="F35">
        <v>6521</v>
      </c>
      <c r="G35">
        <v>3520</v>
      </c>
      <c r="H35">
        <v>2583</v>
      </c>
      <c r="I35">
        <v>1718</v>
      </c>
      <c r="J35">
        <v>467</v>
      </c>
      <c r="K35">
        <v>0</v>
      </c>
      <c r="L35">
        <v>0</v>
      </c>
      <c r="M35">
        <v>0</v>
      </c>
      <c r="N35">
        <v>0</v>
      </c>
      <c r="O35">
        <v>0</v>
      </c>
      <c r="P35">
        <v>20941</v>
      </c>
      <c r="R35" s="754">
        <f t="shared" si="0"/>
        <v>0</v>
      </c>
      <c r="S35" s="754">
        <f t="shared" si="1"/>
        <v>1.1053730743352469E-2</v>
      </c>
      <c r="T35" s="754">
        <f t="shared" si="2"/>
        <v>1.416798390782514E-2</v>
      </c>
      <c r="U35" s="754">
        <f t="shared" si="3"/>
        <v>1.4006937955773216E-2</v>
      </c>
      <c r="V35" s="754">
        <f t="shared" si="4"/>
        <v>1.1715018853858467E-2</v>
      </c>
      <c r="W35" s="754">
        <f t="shared" si="5"/>
        <v>3.1677704194260484E-2</v>
      </c>
      <c r="X35" s="754">
        <f t="shared" si="6"/>
        <v>5.8365890946152542E-2</v>
      </c>
      <c r="Y35" s="754">
        <f t="shared" si="7"/>
        <v>6.0025706940874037E-2</v>
      </c>
      <c r="Z35" s="754">
        <f t="shared" si="8"/>
        <v>0</v>
      </c>
      <c r="AA35" s="754">
        <f t="shared" si="9"/>
        <v>0</v>
      </c>
      <c r="AB35" s="754">
        <f t="shared" si="10"/>
        <v>0</v>
      </c>
      <c r="AC35" s="754">
        <f t="shared" si="11"/>
        <v>0</v>
      </c>
      <c r="AD35" s="754">
        <f t="shared" si="12"/>
        <v>0</v>
      </c>
      <c r="AE35" s="754">
        <f t="shared" si="13"/>
        <v>1.5453164168376839E-2</v>
      </c>
      <c r="BJ35">
        <v>52</v>
      </c>
    </row>
    <row r="36" spans="1:76">
      <c r="B36">
        <v>15</v>
      </c>
      <c r="C36">
        <v>0</v>
      </c>
      <c r="D36">
        <v>1652</v>
      </c>
      <c r="E36">
        <v>6910</v>
      </c>
      <c r="F36">
        <v>8507</v>
      </c>
      <c r="G36">
        <v>3471</v>
      </c>
      <c r="H36">
        <v>1832</v>
      </c>
      <c r="I36">
        <v>1040</v>
      </c>
      <c r="J36">
        <v>0</v>
      </c>
      <c r="K36">
        <v>0</v>
      </c>
      <c r="L36">
        <v>211</v>
      </c>
      <c r="M36">
        <v>0</v>
      </c>
      <c r="N36">
        <v>0</v>
      </c>
      <c r="O36">
        <v>52</v>
      </c>
      <c r="P36">
        <v>23675</v>
      </c>
      <c r="R36" s="754">
        <f t="shared" si="0"/>
        <v>0</v>
      </c>
      <c r="S36" s="754">
        <f t="shared" si="1"/>
        <v>1.4435385919382039E-2</v>
      </c>
      <c r="T36" s="754">
        <f t="shared" si="2"/>
        <v>2.0115218574701402E-2</v>
      </c>
      <c r="U36" s="754">
        <f t="shared" si="3"/>
        <v>1.8272814168036E-2</v>
      </c>
      <c r="V36" s="754">
        <f t="shared" si="4"/>
        <v>1.1551940466404188E-2</v>
      </c>
      <c r="W36" s="754">
        <f t="shared" si="5"/>
        <v>2.2467500613195978E-2</v>
      </c>
      <c r="X36" s="754">
        <f t="shared" si="6"/>
        <v>3.5332087650755906E-2</v>
      </c>
      <c r="Y36" s="754">
        <f t="shared" si="7"/>
        <v>0</v>
      </c>
      <c r="Z36" s="754">
        <f t="shared" si="8"/>
        <v>0</v>
      </c>
      <c r="AA36" s="754">
        <f t="shared" si="9"/>
        <v>0.32561728395061729</v>
      </c>
      <c r="AB36" s="754">
        <f t="shared" si="10"/>
        <v>0</v>
      </c>
      <c r="AC36" s="754">
        <f t="shared" si="11"/>
        <v>0</v>
      </c>
      <c r="AD36" s="754">
        <f t="shared" si="12"/>
        <v>1</v>
      </c>
      <c r="AE36" s="754">
        <f t="shared" si="13"/>
        <v>1.7470687249239371E-2</v>
      </c>
      <c r="BJ36">
        <v>1355127</v>
      </c>
    </row>
    <row r="37" spans="1:76">
      <c r="B37">
        <v>16</v>
      </c>
      <c r="C37">
        <v>0</v>
      </c>
      <c r="D37">
        <v>221</v>
      </c>
      <c r="E37">
        <v>4119</v>
      </c>
      <c r="F37">
        <v>1460</v>
      </c>
      <c r="G37">
        <v>2113</v>
      </c>
      <c r="H37">
        <v>820</v>
      </c>
      <c r="I37">
        <v>0</v>
      </c>
      <c r="J37">
        <v>539</v>
      </c>
      <c r="K37">
        <v>0</v>
      </c>
      <c r="L37">
        <v>0</v>
      </c>
      <c r="M37">
        <v>0</v>
      </c>
      <c r="N37">
        <v>0</v>
      </c>
      <c r="O37">
        <v>0</v>
      </c>
      <c r="P37">
        <v>9272</v>
      </c>
      <c r="R37" s="754">
        <f t="shared" si="0"/>
        <v>0</v>
      </c>
      <c r="S37" s="754">
        <f t="shared" si="1"/>
        <v>1.9311260824354907E-3</v>
      </c>
      <c r="T37" s="754">
        <f t="shared" si="2"/>
        <v>1.1990533329840097E-2</v>
      </c>
      <c r="U37" s="754">
        <f t="shared" si="3"/>
        <v>3.1360419284509884E-3</v>
      </c>
      <c r="V37" s="754">
        <f t="shared" si="4"/>
        <v>7.0323394426712905E-3</v>
      </c>
      <c r="W37" s="754">
        <f t="shared" si="5"/>
        <v>1.0056414029923964E-2</v>
      </c>
      <c r="X37" s="754">
        <f t="shared" si="6"/>
        <v>0</v>
      </c>
      <c r="Y37" s="754">
        <f t="shared" si="7"/>
        <v>6.9280205655526991E-2</v>
      </c>
      <c r="Z37" s="754">
        <f t="shared" si="8"/>
        <v>0</v>
      </c>
      <c r="AA37" s="754">
        <f t="shared" si="9"/>
        <v>0</v>
      </c>
      <c r="AB37" s="754">
        <f t="shared" si="10"/>
        <v>0</v>
      </c>
      <c r="AC37" s="754">
        <f t="shared" si="11"/>
        <v>0</v>
      </c>
      <c r="AD37" s="754">
        <f t="shared" si="12"/>
        <v>0</v>
      </c>
      <c r="AE37" s="754">
        <f t="shared" si="13"/>
        <v>6.842163133049522E-3</v>
      </c>
    </row>
    <row r="38" spans="1:76">
      <c r="B38">
        <v>17</v>
      </c>
      <c r="C38">
        <v>0</v>
      </c>
      <c r="D38">
        <v>0</v>
      </c>
      <c r="E38">
        <v>684</v>
      </c>
      <c r="F38">
        <v>4462</v>
      </c>
      <c r="G38">
        <v>2745</v>
      </c>
      <c r="H38">
        <v>311</v>
      </c>
      <c r="I38">
        <v>215</v>
      </c>
      <c r="J38">
        <v>0</v>
      </c>
      <c r="K38">
        <v>0</v>
      </c>
      <c r="L38">
        <v>0</v>
      </c>
      <c r="M38">
        <v>0</v>
      </c>
      <c r="N38">
        <v>0</v>
      </c>
      <c r="O38">
        <v>0</v>
      </c>
      <c r="P38">
        <v>8417</v>
      </c>
      <c r="R38" s="754">
        <f t="shared" si="0"/>
        <v>0</v>
      </c>
      <c r="S38" s="754">
        <f t="shared" si="1"/>
        <v>0</v>
      </c>
      <c r="T38" s="754">
        <f t="shared" si="2"/>
        <v>1.9911446461788364E-3</v>
      </c>
      <c r="U38" s="754">
        <f t="shared" si="3"/>
        <v>9.5842596470878845E-3</v>
      </c>
      <c r="V38" s="754">
        <f t="shared" si="4"/>
        <v>9.1357178277958785E-3</v>
      </c>
      <c r="W38" s="754">
        <f t="shared" si="5"/>
        <v>3.8140789796418935E-3</v>
      </c>
      <c r="X38" s="754">
        <f t="shared" si="6"/>
        <v>7.3042296585697298E-3</v>
      </c>
      <c r="Y38" s="754">
        <f t="shared" si="7"/>
        <v>0</v>
      </c>
      <c r="Z38" s="754">
        <f t="shared" si="8"/>
        <v>0</v>
      </c>
      <c r="AA38" s="754">
        <f t="shared" si="9"/>
        <v>0</v>
      </c>
      <c r="AB38" s="754">
        <f t="shared" si="10"/>
        <v>0</v>
      </c>
      <c r="AC38" s="754">
        <f t="shared" si="11"/>
        <v>0</v>
      </c>
      <c r="AD38" s="754">
        <f t="shared" si="12"/>
        <v>0</v>
      </c>
      <c r="AE38" s="754">
        <f t="shared" si="13"/>
        <v>6.2112259588953658E-3</v>
      </c>
    </row>
    <row r="39" spans="1:76">
      <c r="B39">
        <v>18</v>
      </c>
      <c r="C39">
        <v>0</v>
      </c>
      <c r="D39">
        <v>1765</v>
      </c>
      <c r="E39">
        <v>2573</v>
      </c>
      <c r="F39">
        <v>1714</v>
      </c>
      <c r="G39">
        <v>1392</v>
      </c>
      <c r="H39">
        <v>665</v>
      </c>
      <c r="I39">
        <v>524</v>
      </c>
      <c r="J39">
        <v>191</v>
      </c>
      <c r="K39">
        <v>0</v>
      </c>
      <c r="L39">
        <v>0</v>
      </c>
      <c r="M39">
        <v>519</v>
      </c>
      <c r="N39">
        <v>0</v>
      </c>
      <c r="O39">
        <v>0</v>
      </c>
      <c r="P39">
        <v>9343</v>
      </c>
      <c r="R39" s="754">
        <f t="shared" si="0"/>
        <v>0</v>
      </c>
      <c r="S39" s="754">
        <f t="shared" si="1"/>
        <v>1.5422794278274395E-2</v>
      </c>
      <c r="T39" s="754">
        <f t="shared" si="2"/>
        <v>7.4900806646464113E-3</v>
      </c>
      <c r="U39" s="754">
        <f t="shared" si="3"/>
        <v>3.6816273050445168E-3</v>
      </c>
      <c r="V39" s="754">
        <f t="shared" si="4"/>
        <v>4.6327574558440304E-3</v>
      </c>
      <c r="W39" s="754">
        <f t="shared" si="5"/>
        <v>8.1555064998773616E-3</v>
      </c>
      <c r="X39" s="754">
        <f t="shared" si="6"/>
        <v>1.7801936470188552E-2</v>
      </c>
      <c r="Y39" s="754">
        <f t="shared" si="7"/>
        <v>2.4550128534704369E-2</v>
      </c>
      <c r="Z39" s="754">
        <f t="shared" si="8"/>
        <v>0</v>
      </c>
      <c r="AA39" s="754">
        <f t="shared" si="9"/>
        <v>0</v>
      </c>
      <c r="AB39" s="754">
        <f t="shared" si="10"/>
        <v>0.50733137829912023</v>
      </c>
      <c r="AC39" s="754">
        <f t="shared" si="11"/>
        <v>0</v>
      </c>
      <c r="AD39" s="754">
        <f t="shared" si="12"/>
        <v>0</v>
      </c>
      <c r="AE39" s="754">
        <f t="shared" si="13"/>
        <v>6.894556746341856E-3</v>
      </c>
    </row>
    <row r="40" spans="1:76">
      <c r="B40">
        <v>19</v>
      </c>
      <c r="C40">
        <v>0</v>
      </c>
      <c r="D40">
        <v>307</v>
      </c>
      <c r="E40">
        <v>1371</v>
      </c>
      <c r="F40">
        <v>698</v>
      </c>
      <c r="G40">
        <v>3298</v>
      </c>
      <c r="H40">
        <v>829</v>
      </c>
      <c r="I40">
        <v>0</v>
      </c>
      <c r="J40">
        <v>0</v>
      </c>
      <c r="K40">
        <v>0</v>
      </c>
      <c r="L40">
        <v>0</v>
      </c>
      <c r="M40">
        <v>0</v>
      </c>
      <c r="N40">
        <v>0</v>
      </c>
      <c r="O40">
        <v>0</v>
      </c>
      <c r="P40">
        <v>6503</v>
      </c>
      <c r="R40" s="754">
        <f t="shared" si="0"/>
        <v>0</v>
      </c>
      <c r="S40" s="754">
        <f t="shared" si="1"/>
        <v>2.6826050104420619E-3</v>
      </c>
      <c r="T40" s="754">
        <f t="shared" si="2"/>
        <v>3.9910223829110886E-3</v>
      </c>
      <c r="U40" s="754">
        <f t="shared" si="3"/>
        <v>1.4992857986704041E-3</v>
      </c>
      <c r="V40" s="754">
        <f t="shared" si="4"/>
        <v>1.0976173914779895E-2</v>
      </c>
      <c r="W40" s="754">
        <f t="shared" si="5"/>
        <v>1.0166789305862154E-2</v>
      </c>
      <c r="X40" s="754">
        <f t="shared" si="6"/>
        <v>0</v>
      </c>
      <c r="Y40" s="754">
        <f t="shared" si="7"/>
        <v>0</v>
      </c>
      <c r="Z40" s="754">
        <f t="shared" si="8"/>
        <v>0</v>
      </c>
      <c r="AA40" s="754">
        <f t="shared" si="9"/>
        <v>0</v>
      </c>
      <c r="AB40" s="754">
        <f t="shared" si="10"/>
        <v>0</v>
      </c>
      <c r="AC40" s="754">
        <f t="shared" si="11"/>
        <v>0</v>
      </c>
      <c r="AD40" s="754">
        <f t="shared" si="12"/>
        <v>0</v>
      </c>
      <c r="AE40" s="754">
        <f t="shared" si="13"/>
        <v>4.7988122146485164E-3</v>
      </c>
    </row>
    <row r="41" spans="1:76">
      <c r="B41">
        <v>20</v>
      </c>
      <c r="C41">
        <v>1199</v>
      </c>
      <c r="D41">
        <v>598</v>
      </c>
      <c r="E41">
        <v>2756</v>
      </c>
      <c r="F41">
        <v>8195</v>
      </c>
      <c r="G41">
        <v>3374</v>
      </c>
      <c r="H41">
        <v>1117</v>
      </c>
      <c r="I41">
        <v>478</v>
      </c>
      <c r="J41">
        <v>0</v>
      </c>
      <c r="K41">
        <v>245</v>
      </c>
      <c r="L41">
        <v>112</v>
      </c>
      <c r="M41">
        <v>0</v>
      </c>
      <c r="N41">
        <v>0</v>
      </c>
      <c r="O41">
        <v>0</v>
      </c>
      <c r="P41">
        <v>18074</v>
      </c>
      <c r="R41" s="754">
        <f t="shared" si="0"/>
        <v>0.15925089653340416</v>
      </c>
      <c r="S41" s="754">
        <f t="shared" si="1"/>
        <v>5.2253999877666223E-3</v>
      </c>
      <c r="T41" s="754">
        <f t="shared" si="2"/>
        <v>8.0227991884047854E-3</v>
      </c>
      <c r="U41" s="754">
        <f t="shared" si="3"/>
        <v>1.760264630387387E-2</v>
      </c>
      <c r="V41" s="754">
        <f t="shared" si="4"/>
        <v>1.1229111821851838E-2</v>
      </c>
      <c r="W41" s="754">
        <f t="shared" si="5"/>
        <v>1.3698798135884229E-2</v>
      </c>
      <c r="X41" s="754">
        <f t="shared" si="6"/>
        <v>1.6239171054866657E-2</v>
      </c>
      <c r="Y41" s="754">
        <f t="shared" si="7"/>
        <v>0</v>
      </c>
      <c r="Z41" s="754">
        <f t="shared" si="8"/>
        <v>8.0039202874877494E-2</v>
      </c>
      <c r="AA41" s="754">
        <f t="shared" si="9"/>
        <v>0.1728395061728395</v>
      </c>
      <c r="AB41" s="754">
        <f t="shared" si="10"/>
        <v>0</v>
      </c>
      <c r="AC41" s="754">
        <f t="shared" si="11"/>
        <v>0</v>
      </c>
      <c r="AD41" s="754">
        <f t="shared" si="12"/>
        <v>0</v>
      </c>
      <c r="AE41" s="754">
        <f t="shared" si="13"/>
        <v>1.3337495304868104E-2</v>
      </c>
      <c r="BX41" s="754"/>
    </row>
    <row r="42" spans="1:76">
      <c r="B42">
        <v>21</v>
      </c>
      <c r="C42">
        <v>0</v>
      </c>
      <c r="D42">
        <v>0</v>
      </c>
      <c r="E42">
        <v>152</v>
      </c>
      <c r="F42">
        <v>786</v>
      </c>
      <c r="G42">
        <v>1342</v>
      </c>
      <c r="H42">
        <v>1017</v>
      </c>
      <c r="I42">
        <v>0</v>
      </c>
      <c r="J42">
        <v>107</v>
      </c>
      <c r="K42">
        <v>138</v>
      </c>
      <c r="L42">
        <v>0</v>
      </c>
      <c r="M42">
        <v>0</v>
      </c>
      <c r="N42">
        <v>0</v>
      </c>
      <c r="O42">
        <v>0</v>
      </c>
      <c r="P42">
        <v>3542</v>
      </c>
      <c r="R42" s="754">
        <f t="shared" si="0"/>
        <v>0</v>
      </c>
      <c r="S42" s="754">
        <f t="shared" si="1"/>
        <v>0</v>
      </c>
      <c r="T42" s="754">
        <f t="shared" si="2"/>
        <v>4.4247658803974138E-4</v>
      </c>
      <c r="U42" s="754">
        <f t="shared" si="3"/>
        <v>1.688307503946902E-3</v>
      </c>
      <c r="V42" s="754">
        <f t="shared" si="4"/>
        <v>4.4663509380335406E-3</v>
      </c>
      <c r="W42" s="754">
        <f t="shared" si="5"/>
        <v>1.2472406181015453E-2</v>
      </c>
      <c r="X42" s="754">
        <f t="shared" si="6"/>
        <v>0</v>
      </c>
      <c r="Y42" s="754">
        <f t="shared" si="7"/>
        <v>1.3753213367609254E-2</v>
      </c>
      <c r="Z42" s="754">
        <f t="shared" si="8"/>
        <v>4.5083306109114665E-2</v>
      </c>
      <c r="AA42" s="754">
        <f t="shared" si="9"/>
        <v>0</v>
      </c>
      <c r="AB42" s="754">
        <f t="shared" si="10"/>
        <v>0</v>
      </c>
      <c r="AC42" s="754">
        <f t="shared" si="11"/>
        <v>0</v>
      </c>
      <c r="AD42" s="754">
        <f t="shared" si="12"/>
        <v>0</v>
      </c>
      <c r="AE42" s="754">
        <f t="shared" si="13"/>
        <v>2.6137771588935943E-3</v>
      </c>
      <c r="BX42" s="754"/>
    </row>
    <row r="43" spans="1:76">
      <c r="B43">
        <v>22</v>
      </c>
      <c r="C43">
        <v>0</v>
      </c>
      <c r="D43">
        <v>510</v>
      </c>
      <c r="E43">
        <v>1220</v>
      </c>
      <c r="F43">
        <v>2120</v>
      </c>
      <c r="G43">
        <v>1844</v>
      </c>
      <c r="H43">
        <v>178</v>
      </c>
      <c r="I43">
        <v>268</v>
      </c>
      <c r="J43">
        <v>230</v>
      </c>
      <c r="K43">
        <v>0</v>
      </c>
      <c r="L43">
        <v>0</v>
      </c>
      <c r="M43">
        <v>0</v>
      </c>
      <c r="N43">
        <v>0</v>
      </c>
      <c r="O43">
        <v>0</v>
      </c>
      <c r="P43">
        <v>6370</v>
      </c>
      <c r="R43" s="754">
        <f t="shared" si="0"/>
        <v>0</v>
      </c>
      <c r="S43" s="754">
        <f t="shared" si="1"/>
        <v>4.4564448056203633E-3</v>
      </c>
      <c r="T43" s="754">
        <f t="shared" si="2"/>
        <v>3.5514568250558189E-3</v>
      </c>
      <c r="U43" s="754">
        <f t="shared" si="3"/>
        <v>4.5537047180247234E-3</v>
      </c>
      <c r="V43" s="754">
        <f t="shared" si="4"/>
        <v>6.1370723768508564E-3</v>
      </c>
      <c r="W43" s="754">
        <f t="shared" si="5"/>
        <v>2.1829776796664212E-3</v>
      </c>
      <c r="X43" s="754">
        <f t="shared" si="6"/>
        <v>9.104807202310175E-3</v>
      </c>
      <c r="Y43" s="754">
        <f t="shared" si="7"/>
        <v>2.9562982005141389E-2</v>
      </c>
      <c r="Z43" s="754">
        <f t="shared" si="8"/>
        <v>0</v>
      </c>
      <c r="AA43" s="754">
        <f t="shared" si="9"/>
        <v>0</v>
      </c>
      <c r="AB43" s="754">
        <f t="shared" si="10"/>
        <v>0</v>
      </c>
      <c r="AC43" s="754">
        <f t="shared" si="11"/>
        <v>0</v>
      </c>
      <c r="AD43" s="754">
        <f t="shared" si="12"/>
        <v>0</v>
      </c>
      <c r="AE43" s="754">
        <f t="shared" si="13"/>
        <v>4.7006664320023142E-3</v>
      </c>
      <c r="BX43" s="754"/>
    </row>
    <row r="44" spans="1:76">
      <c r="B44">
        <v>23</v>
      </c>
      <c r="C44">
        <v>0</v>
      </c>
      <c r="D44">
        <v>0</v>
      </c>
      <c r="E44">
        <v>1162</v>
      </c>
      <c r="F44">
        <v>704</v>
      </c>
      <c r="G44">
        <v>1413</v>
      </c>
      <c r="H44">
        <v>530</v>
      </c>
      <c r="I44">
        <v>0</v>
      </c>
      <c r="J44">
        <v>387</v>
      </c>
      <c r="K44">
        <v>0</v>
      </c>
      <c r="L44">
        <v>0</v>
      </c>
      <c r="M44">
        <v>0</v>
      </c>
      <c r="N44">
        <v>0</v>
      </c>
      <c r="O44">
        <v>0</v>
      </c>
      <c r="P44">
        <v>4196</v>
      </c>
      <c r="R44" s="754">
        <f t="shared" si="0"/>
        <v>0</v>
      </c>
      <c r="S44" s="754">
        <f t="shared" si="1"/>
        <v>0</v>
      </c>
      <c r="T44" s="754">
        <f t="shared" si="2"/>
        <v>3.3826170743564438E-3</v>
      </c>
      <c r="U44" s="754">
        <f t="shared" si="3"/>
        <v>1.5121736422119836E-3</v>
      </c>
      <c r="V44" s="754">
        <f t="shared" si="4"/>
        <v>4.7026481933244366E-3</v>
      </c>
      <c r="W44" s="754">
        <f t="shared" si="5"/>
        <v>6.4998773608045133E-3</v>
      </c>
      <c r="X44" s="754">
        <f t="shared" si="6"/>
        <v>0</v>
      </c>
      <c r="Y44" s="754">
        <f t="shared" si="7"/>
        <v>4.9742930591259643E-2</v>
      </c>
      <c r="Z44" s="754">
        <f t="shared" si="8"/>
        <v>0</v>
      </c>
      <c r="AA44" s="754">
        <f t="shared" si="9"/>
        <v>0</v>
      </c>
      <c r="AB44" s="754">
        <f t="shared" si="10"/>
        <v>0</v>
      </c>
      <c r="AC44" s="754">
        <f t="shared" si="11"/>
        <v>0</v>
      </c>
      <c r="AD44" s="754">
        <f t="shared" si="12"/>
        <v>0</v>
      </c>
      <c r="AE44" s="754">
        <f t="shared" si="13"/>
        <v>3.0963887517553705E-3</v>
      </c>
      <c r="BX44" s="754"/>
    </row>
    <row r="45" spans="1:76">
      <c r="B45">
        <v>24</v>
      </c>
      <c r="C45">
        <v>0</v>
      </c>
      <c r="D45">
        <v>0</v>
      </c>
      <c r="E45">
        <v>1165</v>
      </c>
      <c r="F45">
        <v>1620</v>
      </c>
      <c r="G45">
        <v>1317</v>
      </c>
      <c r="H45">
        <v>698</v>
      </c>
      <c r="I45">
        <v>0</v>
      </c>
      <c r="J45">
        <v>0</v>
      </c>
      <c r="K45">
        <v>0</v>
      </c>
      <c r="L45">
        <v>0</v>
      </c>
      <c r="M45">
        <v>0</v>
      </c>
      <c r="N45">
        <v>0</v>
      </c>
      <c r="O45">
        <v>0</v>
      </c>
      <c r="P45">
        <v>4800</v>
      </c>
      <c r="R45" s="754">
        <f t="shared" si="0"/>
        <v>0</v>
      </c>
      <c r="S45" s="754">
        <f t="shared" si="1"/>
        <v>0</v>
      </c>
      <c r="T45" s="754">
        <f t="shared" si="2"/>
        <v>3.3913501649098601E-3</v>
      </c>
      <c r="U45" s="754">
        <f t="shared" si="3"/>
        <v>3.4797177562264393E-3</v>
      </c>
      <c r="V45" s="754">
        <f t="shared" si="4"/>
        <v>4.3831476791282957E-3</v>
      </c>
      <c r="W45" s="754">
        <f t="shared" si="5"/>
        <v>8.5602158449840562E-3</v>
      </c>
      <c r="X45" s="754">
        <f t="shared" si="6"/>
        <v>0</v>
      </c>
      <c r="Y45" s="754">
        <f t="shared" si="7"/>
        <v>0</v>
      </c>
      <c r="Z45" s="754">
        <f t="shared" si="8"/>
        <v>0</v>
      </c>
      <c r="AA45" s="754">
        <f t="shared" si="9"/>
        <v>0</v>
      </c>
      <c r="AB45" s="754">
        <f t="shared" si="10"/>
        <v>0</v>
      </c>
      <c r="AC45" s="754">
        <f t="shared" si="11"/>
        <v>0</v>
      </c>
      <c r="AD45" s="754">
        <f t="shared" si="12"/>
        <v>0</v>
      </c>
      <c r="AE45" s="754">
        <f t="shared" si="13"/>
        <v>3.5421034338478977E-3</v>
      </c>
      <c r="BX45" s="754"/>
    </row>
    <row r="46" spans="1:76">
      <c r="B46">
        <v>25</v>
      </c>
      <c r="C46">
        <v>0</v>
      </c>
      <c r="D46">
        <v>0</v>
      </c>
      <c r="E46">
        <v>2764</v>
      </c>
      <c r="F46">
        <v>2796</v>
      </c>
      <c r="G46">
        <v>1975</v>
      </c>
      <c r="H46">
        <v>0</v>
      </c>
      <c r="I46">
        <v>0</v>
      </c>
      <c r="J46">
        <v>0</v>
      </c>
      <c r="K46">
        <v>0</v>
      </c>
      <c r="L46">
        <v>0</v>
      </c>
      <c r="M46">
        <v>0</v>
      </c>
      <c r="N46">
        <v>0</v>
      </c>
      <c r="O46">
        <v>0</v>
      </c>
      <c r="P46">
        <v>7535</v>
      </c>
      <c r="R46" s="754">
        <f t="shared" si="0"/>
        <v>0</v>
      </c>
      <c r="S46" s="754">
        <f t="shared" si="1"/>
        <v>0</v>
      </c>
      <c r="T46" s="754">
        <f t="shared" si="2"/>
        <v>8.0460874298805603E-3</v>
      </c>
      <c r="U46" s="754">
        <f t="shared" si="3"/>
        <v>6.0057350903760026E-3</v>
      </c>
      <c r="V46" s="754">
        <f t="shared" si="4"/>
        <v>6.5730574535143391E-3</v>
      </c>
      <c r="W46" s="754">
        <f t="shared" si="5"/>
        <v>0</v>
      </c>
      <c r="X46" s="754">
        <f t="shared" si="6"/>
        <v>0</v>
      </c>
      <c r="Y46" s="754">
        <f t="shared" si="7"/>
        <v>0</v>
      </c>
      <c r="Z46" s="754">
        <f t="shared" si="8"/>
        <v>0</v>
      </c>
      <c r="AA46" s="754">
        <f t="shared" si="9"/>
        <v>0</v>
      </c>
      <c r="AB46" s="754">
        <f t="shared" si="10"/>
        <v>0</v>
      </c>
      <c r="AC46" s="754">
        <f t="shared" si="11"/>
        <v>0</v>
      </c>
      <c r="AD46" s="754">
        <f t="shared" si="12"/>
        <v>0</v>
      </c>
      <c r="AE46" s="754">
        <f t="shared" si="13"/>
        <v>5.560364452925814E-3</v>
      </c>
      <c r="BX46" s="754"/>
    </row>
    <row r="47" spans="1:76">
      <c r="B47">
        <v>26</v>
      </c>
      <c r="C47">
        <v>0</v>
      </c>
      <c r="D47">
        <v>664</v>
      </c>
      <c r="E47">
        <v>759</v>
      </c>
      <c r="F47">
        <v>620</v>
      </c>
      <c r="G47">
        <v>440</v>
      </c>
      <c r="H47">
        <v>403</v>
      </c>
      <c r="I47">
        <v>0</v>
      </c>
      <c r="J47">
        <v>0</v>
      </c>
      <c r="K47">
        <v>309</v>
      </c>
      <c r="L47">
        <v>0</v>
      </c>
      <c r="M47">
        <v>0</v>
      </c>
      <c r="N47">
        <v>0</v>
      </c>
      <c r="O47">
        <v>0</v>
      </c>
      <c r="P47">
        <v>3195</v>
      </c>
      <c r="R47" s="754">
        <f t="shared" si="0"/>
        <v>0</v>
      </c>
      <c r="S47" s="754">
        <f t="shared" si="1"/>
        <v>5.8021163743763159E-3</v>
      </c>
      <c r="T47" s="754">
        <f t="shared" si="2"/>
        <v>2.2094719100142352E-3</v>
      </c>
      <c r="U47" s="754">
        <f t="shared" si="3"/>
        <v>1.3317438326298718E-3</v>
      </c>
      <c r="V47" s="754">
        <f t="shared" si="4"/>
        <v>1.4643773567323084E-3</v>
      </c>
      <c r="W47" s="754">
        <f t="shared" si="5"/>
        <v>4.9423595781211676E-3</v>
      </c>
      <c r="X47" s="754">
        <f t="shared" si="6"/>
        <v>0</v>
      </c>
      <c r="Y47" s="754">
        <f t="shared" si="7"/>
        <v>0</v>
      </c>
      <c r="Z47" s="754">
        <f t="shared" si="8"/>
        <v>0.10094740280953937</v>
      </c>
      <c r="AA47" s="754">
        <f t="shared" si="9"/>
        <v>0</v>
      </c>
      <c r="AB47" s="754">
        <f t="shared" si="10"/>
        <v>0</v>
      </c>
      <c r="AC47" s="754">
        <f t="shared" si="11"/>
        <v>0</v>
      </c>
      <c r="AD47" s="754">
        <f t="shared" si="12"/>
        <v>0</v>
      </c>
      <c r="AE47" s="754">
        <f t="shared" si="13"/>
        <v>2.357712598155007E-3</v>
      </c>
      <c r="BX47" s="754"/>
    </row>
    <row r="48" spans="1:76">
      <c r="B48">
        <v>27</v>
      </c>
      <c r="C48">
        <v>0</v>
      </c>
      <c r="D48">
        <v>394</v>
      </c>
      <c r="E48">
        <v>469</v>
      </c>
      <c r="F48">
        <v>1477</v>
      </c>
      <c r="G48">
        <v>0</v>
      </c>
      <c r="H48">
        <v>601</v>
      </c>
      <c r="I48">
        <v>0</v>
      </c>
      <c r="J48">
        <v>45</v>
      </c>
      <c r="K48">
        <v>0</v>
      </c>
      <c r="L48">
        <v>0</v>
      </c>
      <c r="M48">
        <v>0</v>
      </c>
      <c r="N48">
        <v>0</v>
      </c>
      <c r="O48">
        <v>0</v>
      </c>
      <c r="P48">
        <v>2986</v>
      </c>
      <c r="R48" s="754">
        <f t="shared" si="0"/>
        <v>0</v>
      </c>
      <c r="S48" s="754">
        <f t="shared" si="1"/>
        <v>3.4428220655184768E-3</v>
      </c>
      <c r="T48" s="754">
        <f t="shared" si="2"/>
        <v>1.36527315651736E-3</v>
      </c>
      <c r="U48" s="754">
        <f t="shared" si="3"/>
        <v>3.1725574851521302E-3</v>
      </c>
      <c r="V48" s="754">
        <f t="shared" si="4"/>
        <v>0</v>
      </c>
      <c r="W48" s="754">
        <f t="shared" si="5"/>
        <v>7.3706156487613438E-3</v>
      </c>
      <c r="X48" s="754">
        <f t="shared" si="6"/>
        <v>0</v>
      </c>
      <c r="Y48" s="754">
        <f t="shared" si="7"/>
        <v>5.7840616966580976E-3</v>
      </c>
      <c r="Z48" s="754">
        <f t="shared" si="8"/>
        <v>0</v>
      </c>
      <c r="AA48" s="754">
        <f t="shared" si="9"/>
        <v>0</v>
      </c>
      <c r="AB48" s="754">
        <f t="shared" si="10"/>
        <v>0</v>
      </c>
      <c r="AC48" s="754">
        <f t="shared" si="11"/>
        <v>0</v>
      </c>
      <c r="AD48" s="754">
        <f t="shared" si="12"/>
        <v>0</v>
      </c>
      <c r="AE48" s="754">
        <f t="shared" si="13"/>
        <v>2.2034835111395465E-3</v>
      </c>
      <c r="BX48" s="754"/>
    </row>
    <row r="49" spans="2:76">
      <c r="B49">
        <v>28</v>
      </c>
      <c r="C49">
        <v>0</v>
      </c>
      <c r="D49">
        <v>0</v>
      </c>
      <c r="E49">
        <v>0</v>
      </c>
      <c r="F49">
        <v>711</v>
      </c>
      <c r="G49">
        <v>178</v>
      </c>
      <c r="H49">
        <v>919</v>
      </c>
      <c r="I49">
        <v>0</v>
      </c>
      <c r="J49">
        <v>0</v>
      </c>
      <c r="K49">
        <v>0</v>
      </c>
      <c r="L49">
        <v>0</v>
      </c>
      <c r="M49">
        <v>0</v>
      </c>
      <c r="N49">
        <v>0</v>
      </c>
      <c r="O49">
        <v>0</v>
      </c>
      <c r="P49">
        <v>1808</v>
      </c>
      <c r="R49" s="754">
        <f t="shared" si="0"/>
        <v>0</v>
      </c>
      <c r="S49" s="754">
        <f t="shared" si="1"/>
        <v>0</v>
      </c>
      <c r="T49" s="754">
        <f t="shared" si="2"/>
        <v>0</v>
      </c>
      <c r="U49" s="754">
        <f t="shared" si="3"/>
        <v>1.5272094596771595E-3</v>
      </c>
      <c r="V49" s="754">
        <f t="shared" si="4"/>
        <v>5.9240720340534301E-4</v>
      </c>
      <c r="W49" s="754">
        <f t="shared" si="5"/>
        <v>1.1270542065244051E-2</v>
      </c>
      <c r="X49" s="754">
        <f t="shared" si="6"/>
        <v>0</v>
      </c>
      <c r="Y49" s="754">
        <f t="shared" si="7"/>
        <v>0</v>
      </c>
      <c r="Z49" s="754">
        <f t="shared" si="8"/>
        <v>0</v>
      </c>
      <c r="AA49" s="754">
        <f t="shared" si="9"/>
        <v>0</v>
      </c>
      <c r="AB49" s="754">
        <f t="shared" si="10"/>
        <v>0</v>
      </c>
      <c r="AC49" s="754">
        <f t="shared" si="11"/>
        <v>0</v>
      </c>
      <c r="AD49" s="754">
        <f t="shared" si="12"/>
        <v>0</v>
      </c>
      <c r="AE49" s="754">
        <f t="shared" si="13"/>
        <v>1.3341922934160414E-3</v>
      </c>
      <c r="BX49" s="754"/>
    </row>
    <row r="50" spans="2:76">
      <c r="B50">
        <v>29</v>
      </c>
      <c r="C50">
        <v>0</v>
      </c>
      <c r="D50">
        <v>235</v>
      </c>
      <c r="E50">
        <v>244</v>
      </c>
      <c r="F50">
        <v>1043</v>
      </c>
      <c r="G50">
        <v>584</v>
      </c>
      <c r="H50">
        <v>202</v>
      </c>
      <c r="I50">
        <v>0</v>
      </c>
      <c r="J50">
        <v>0</v>
      </c>
      <c r="K50">
        <v>0</v>
      </c>
      <c r="L50">
        <v>0</v>
      </c>
      <c r="M50">
        <v>0</v>
      </c>
      <c r="N50">
        <v>0</v>
      </c>
      <c r="O50">
        <v>0</v>
      </c>
      <c r="P50">
        <v>2308</v>
      </c>
      <c r="R50" s="754">
        <f t="shared" si="0"/>
        <v>0</v>
      </c>
      <c r="S50" s="754">
        <f t="shared" si="1"/>
        <v>2.0534598614133045E-3</v>
      </c>
      <c r="T50" s="754">
        <f t="shared" si="2"/>
        <v>7.1029136501116381E-4</v>
      </c>
      <c r="U50" s="754">
        <f t="shared" si="3"/>
        <v>2.24033680231122E-3</v>
      </c>
      <c r="V50" s="754">
        <f t="shared" si="4"/>
        <v>1.9436281280265186E-3</v>
      </c>
      <c r="W50" s="754">
        <f t="shared" si="5"/>
        <v>2.4773117488349275E-3</v>
      </c>
      <c r="X50" s="754">
        <f t="shared" si="6"/>
        <v>0</v>
      </c>
      <c r="Y50" s="754">
        <f t="shared" si="7"/>
        <v>0</v>
      </c>
      <c r="Z50" s="754">
        <f t="shared" si="8"/>
        <v>0</v>
      </c>
      <c r="AA50" s="754">
        <f t="shared" si="9"/>
        <v>0</v>
      </c>
      <c r="AB50" s="754">
        <f t="shared" si="10"/>
        <v>0</v>
      </c>
      <c r="AC50" s="754">
        <f t="shared" si="11"/>
        <v>0</v>
      </c>
      <c r="AD50" s="754">
        <f t="shared" si="12"/>
        <v>0</v>
      </c>
      <c r="AE50" s="754">
        <f t="shared" si="13"/>
        <v>1.7031614011085308E-3</v>
      </c>
      <c r="BX50" s="754"/>
    </row>
    <row r="51" spans="2:76">
      <c r="B51">
        <v>30</v>
      </c>
      <c r="C51">
        <v>0</v>
      </c>
      <c r="D51">
        <v>450</v>
      </c>
      <c r="E51">
        <v>2243</v>
      </c>
      <c r="F51">
        <v>1683</v>
      </c>
      <c r="G51">
        <v>1304</v>
      </c>
      <c r="H51">
        <v>1016</v>
      </c>
      <c r="I51">
        <v>0</v>
      </c>
      <c r="J51">
        <v>0</v>
      </c>
      <c r="K51">
        <v>0</v>
      </c>
      <c r="L51">
        <v>0</v>
      </c>
      <c r="M51">
        <v>0</v>
      </c>
      <c r="N51">
        <v>0</v>
      </c>
      <c r="O51">
        <v>0</v>
      </c>
      <c r="P51">
        <v>6696</v>
      </c>
      <c r="R51" s="754">
        <f t="shared" si="0"/>
        <v>0</v>
      </c>
      <c r="S51" s="754">
        <f t="shared" si="1"/>
        <v>3.9321571814297327E-3</v>
      </c>
      <c r="T51" s="754">
        <f t="shared" si="2"/>
        <v>6.5294407037706573E-3</v>
      </c>
      <c r="U51" s="754">
        <f t="shared" si="3"/>
        <v>3.6150401134130233E-3</v>
      </c>
      <c r="V51" s="754">
        <f t="shared" si="4"/>
        <v>4.3398819844975688E-3</v>
      </c>
      <c r="W51" s="754">
        <f t="shared" si="5"/>
        <v>1.2460142261466765E-2</v>
      </c>
      <c r="X51" s="754">
        <f t="shared" si="6"/>
        <v>0</v>
      </c>
      <c r="Y51" s="754">
        <f t="shared" si="7"/>
        <v>0</v>
      </c>
      <c r="Z51" s="754">
        <f t="shared" si="8"/>
        <v>0</v>
      </c>
      <c r="AA51" s="754">
        <f t="shared" si="9"/>
        <v>0</v>
      </c>
      <c r="AB51" s="754">
        <f t="shared" si="10"/>
        <v>0</v>
      </c>
      <c r="AC51" s="754">
        <f t="shared" si="11"/>
        <v>0</v>
      </c>
      <c r="AD51" s="754">
        <f t="shared" si="12"/>
        <v>0</v>
      </c>
      <c r="AE51" s="754">
        <f t="shared" si="13"/>
        <v>4.9412342902178169E-3</v>
      </c>
      <c r="BX51" s="754"/>
    </row>
    <row r="52" spans="2:76">
      <c r="B52">
        <v>31</v>
      </c>
      <c r="C52">
        <v>0</v>
      </c>
      <c r="D52">
        <v>0</v>
      </c>
      <c r="E52">
        <v>0</v>
      </c>
      <c r="F52">
        <v>595</v>
      </c>
      <c r="G52">
        <v>346</v>
      </c>
      <c r="H52">
        <v>0</v>
      </c>
      <c r="I52">
        <v>0</v>
      </c>
      <c r="J52">
        <v>0</v>
      </c>
      <c r="K52">
        <v>134</v>
      </c>
      <c r="L52">
        <v>0</v>
      </c>
      <c r="M52">
        <v>0</v>
      </c>
      <c r="N52">
        <v>0</v>
      </c>
      <c r="O52">
        <v>0</v>
      </c>
      <c r="P52">
        <v>1075</v>
      </c>
      <c r="R52" s="754">
        <f t="shared" si="0"/>
        <v>0</v>
      </c>
      <c r="S52" s="754">
        <f t="shared" si="1"/>
        <v>0</v>
      </c>
      <c r="T52" s="754">
        <f t="shared" si="2"/>
        <v>0</v>
      </c>
      <c r="U52" s="754">
        <f t="shared" si="3"/>
        <v>1.2780444845399577E-3</v>
      </c>
      <c r="V52" s="754">
        <f t="shared" si="4"/>
        <v>1.151533103248588E-3</v>
      </c>
      <c r="W52" s="754">
        <f t="shared" si="5"/>
        <v>0</v>
      </c>
      <c r="X52" s="754">
        <f t="shared" si="6"/>
        <v>0</v>
      </c>
      <c r="Y52" s="754">
        <f t="shared" si="7"/>
        <v>0</v>
      </c>
      <c r="Z52" s="754">
        <f t="shared" si="8"/>
        <v>4.3776543613198299E-2</v>
      </c>
      <c r="AA52" s="754">
        <f t="shared" si="9"/>
        <v>0</v>
      </c>
      <c r="AB52" s="754">
        <f t="shared" si="10"/>
        <v>0</v>
      </c>
      <c r="AC52" s="754">
        <f t="shared" si="11"/>
        <v>0</v>
      </c>
      <c r="AD52" s="754">
        <f t="shared" si="12"/>
        <v>0</v>
      </c>
      <c r="AE52" s="754">
        <f t="shared" si="13"/>
        <v>7.9328358153885211E-4</v>
      </c>
      <c r="BX52" s="754"/>
    </row>
    <row r="53" spans="2:76">
      <c r="B53">
        <v>32</v>
      </c>
      <c r="C53">
        <v>0</v>
      </c>
      <c r="D53">
        <v>0</v>
      </c>
      <c r="E53">
        <v>288</v>
      </c>
      <c r="F53">
        <v>697</v>
      </c>
      <c r="G53">
        <v>1040</v>
      </c>
      <c r="H53">
        <v>0</v>
      </c>
      <c r="I53">
        <v>0</v>
      </c>
      <c r="J53">
        <v>0</v>
      </c>
      <c r="K53">
        <v>0</v>
      </c>
      <c r="L53">
        <v>0</v>
      </c>
      <c r="M53">
        <v>0</v>
      </c>
      <c r="N53">
        <v>0</v>
      </c>
      <c r="O53">
        <v>0</v>
      </c>
      <c r="P53">
        <v>2025</v>
      </c>
      <c r="R53" s="754">
        <f t="shared" ref="R53:R79" si="14">+C53/C$80</f>
        <v>0</v>
      </c>
      <c r="S53" s="754">
        <f t="shared" ref="S53:S79" si="15">+D53/D$80</f>
        <v>0</v>
      </c>
      <c r="T53" s="754">
        <f t="shared" ref="T53:T79" si="16">+E53/E$80</f>
        <v>8.3837669312793108E-4</v>
      </c>
      <c r="U53" s="754">
        <f t="shared" ref="U53:U79" si="17">+F53/F$80</f>
        <v>1.4971378247468075E-3</v>
      </c>
      <c r="V53" s="754">
        <f t="shared" ref="V53:V79" si="18">+G53/G$80</f>
        <v>3.4612555704581836E-3</v>
      </c>
      <c r="W53" s="754">
        <f t="shared" ref="W53:W79" si="19">+H53/H$80</f>
        <v>0</v>
      </c>
      <c r="X53" s="754">
        <f t="shared" ref="X53:X79" si="20">+I53/I$80</f>
        <v>0</v>
      </c>
      <c r="Y53" s="754">
        <f t="shared" ref="Y53:Y79" si="21">+J53/J$80</f>
        <v>0</v>
      </c>
      <c r="Z53" s="754">
        <f t="shared" ref="Z53:Z79" si="22">+K53/K$80</f>
        <v>0</v>
      </c>
      <c r="AA53" s="754">
        <f t="shared" ref="AA53:AA79" si="23">+L53/L$80</f>
        <v>0</v>
      </c>
      <c r="AB53" s="754">
        <f t="shared" ref="AB53:AB79" si="24">+M53/M$80</f>
        <v>0</v>
      </c>
      <c r="AC53" s="754">
        <f t="shared" ref="AC53:AC79" si="25">+N53/N$80</f>
        <v>0</v>
      </c>
      <c r="AD53" s="754">
        <f t="shared" ref="AD53:AD79" si="26">+O53/O$80</f>
        <v>0</v>
      </c>
      <c r="AE53" s="754">
        <f t="shared" ref="AE53:AE79" si="27">+P53/P$80</f>
        <v>1.4943248861545818E-3</v>
      </c>
      <c r="BX53" s="754"/>
    </row>
    <row r="54" spans="2:76">
      <c r="B54">
        <v>33</v>
      </c>
      <c r="C54">
        <v>0</v>
      </c>
      <c r="D54">
        <v>0</v>
      </c>
      <c r="E54">
        <v>232</v>
      </c>
      <c r="F54">
        <v>352</v>
      </c>
      <c r="G54">
        <v>335</v>
      </c>
      <c r="H54">
        <v>0</v>
      </c>
      <c r="I54">
        <v>0</v>
      </c>
      <c r="J54">
        <v>0</v>
      </c>
      <c r="K54">
        <v>0</v>
      </c>
      <c r="L54">
        <v>0</v>
      </c>
      <c r="M54">
        <v>0</v>
      </c>
      <c r="N54">
        <v>0</v>
      </c>
      <c r="O54">
        <v>0</v>
      </c>
      <c r="P54">
        <v>919</v>
      </c>
      <c r="R54" s="754">
        <f t="shared" si="14"/>
        <v>0</v>
      </c>
      <c r="S54" s="754">
        <f t="shared" si="15"/>
        <v>0</v>
      </c>
      <c r="T54" s="754">
        <f t="shared" si="16"/>
        <v>6.7535900279750002E-4</v>
      </c>
      <c r="U54" s="754">
        <f t="shared" si="17"/>
        <v>7.5608682110599179E-4</v>
      </c>
      <c r="V54" s="754">
        <f t="shared" si="18"/>
        <v>1.1149236693302803E-3</v>
      </c>
      <c r="W54" s="754">
        <f t="shared" si="19"/>
        <v>0</v>
      </c>
      <c r="X54" s="754">
        <f t="shared" si="20"/>
        <v>0</v>
      </c>
      <c r="Y54" s="754">
        <f t="shared" si="21"/>
        <v>0</v>
      </c>
      <c r="Z54" s="754">
        <f t="shared" si="22"/>
        <v>0</v>
      </c>
      <c r="AA54" s="754">
        <f t="shared" si="23"/>
        <v>0</v>
      </c>
      <c r="AB54" s="754">
        <f t="shared" si="24"/>
        <v>0</v>
      </c>
      <c r="AC54" s="754">
        <f t="shared" si="25"/>
        <v>0</v>
      </c>
      <c r="AD54" s="754">
        <f t="shared" si="26"/>
        <v>0</v>
      </c>
      <c r="AE54" s="754">
        <f t="shared" si="27"/>
        <v>6.7816521993879536E-4</v>
      </c>
      <c r="BX54" s="754"/>
    </row>
    <row r="55" spans="2:76">
      <c r="B55">
        <v>34</v>
      </c>
      <c r="C55">
        <v>0</v>
      </c>
      <c r="D55">
        <v>0</v>
      </c>
      <c r="E55">
        <v>0</v>
      </c>
      <c r="F55">
        <v>1472</v>
      </c>
      <c r="G55">
        <v>138</v>
      </c>
      <c r="H55">
        <v>0</v>
      </c>
      <c r="I55">
        <v>555</v>
      </c>
      <c r="J55">
        <v>0</v>
      </c>
      <c r="K55">
        <v>0</v>
      </c>
      <c r="L55">
        <v>0</v>
      </c>
      <c r="M55">
        <v>0</v>
      </c>
      <c r="N55">
        <v>0</v>
      </c>
      <c r="O55">
        <v>0</v>
      </c>
      <c r="P55">
        <v>2165</v>
      </c>
      <c r="R55" s="754">
        <f t="shared" si="14"/>
        <v>0</v>
      </c>
      <c r="S55" s="754">
        <f t="shared" si="15"/>
        <v>0</v>
      </c>
      <c r="T55" s="754">
        <f t="shared" si="16"/>
        <v>0</v>
      </c>
      <c r="U55" s="754">
        <f t="shared" si="17"/>
        <v>3.1618176155341474E-3</v>
      </c>
      <c r="V55" s="754">
        <f t="shared" si="18"/>
        <v>4.592819891569513E-4</v>
      </c>
      <c r="W55" s="754">
        <f t="shared" si="19"/>
        <v>0</v>
      </c>
      <c r="X55" s="754">
        <f t="shared" si="20"/>
        <v>1.8855104467470699E-2</v>
      </c>
      <c r="Y55" s="754">
        <f t="shared" si="21"/>
        <v>0</v>
      </c>
      <c r="Z55" s="754">
        <f t="shared" si="22"/>
        <v>0</v>
      </c>
      <c r="AA55" s="754">
        <f t="shared" si="23"/>
        <v>0</v>
      </c>
      <c r="AB55" s="754">
        <f t="shared" si="24"/>
        <v>0</v>
      </c>
      <c r="AC55" s="754">
        <f t="shared" si="25"/>
        <v>0</v>
      </c>
      <c r="AD55" s="754">
        <f t="shared" si="26"/>
        <v>0</v>
      </c>
      <c r="AE55" s="754">
        <f t="shared" si="27"/>
        <v>1.5976362363084788E-3</v>
      </c>
      <c r="BX55" s="754"/>
    </row>
    <row r="56" spans="2:76">
      <c r="B56">
        <v>35</v>
      </c>
      <c r="C56">
        <v>864</v>
      </c>
      <c r="D56">
        <v>0</v>
      </c>
      <c r="E56">
        <v>208</v>
      </c>
      <c r="F56">
        <v>596</v>
      </c>
      <c r="G56">
        <v>829</v>
      </c>
      <c r="H56">
        <v>0</v>
      </c>
      <c r="I56">
        <v>0</v>
      </c>
      <c r="J56">
        <v>0</v>
      </c>
      <c r="K56">
        <v>0</v>
      </c>
      <c r="L56">
        <v>0</v>
      </c>
      <c r="M56">
        <v>0</v>
      </c>
      <c r="N56">
        <v>0</v>
      </c>
      <c r="O56">
        <v>0</v>
      </c>
      <c r="P56">
        <v>2497</v>
      </c>
      <c r="R56" s="754">
        <f t="shared" si="14"/>
        <v>0.1147562757338292</v>
      </c>
      <c r="S56" s="754">
        <f t="shared" si="15"/>
        <v>0</v>
      </c>
      <c r="T56" s="754">
        <f t="shared" si="16"/>
        <v>6.0549427837017244E-4</v>
      </c>
      <c r="U56" s="754">
        <f t="shared" si="17"/>
        <v>1.2801924584635543E-3</v>
      </c>
      <c r="V56" s="754">
        <f t="shared" si="18"/>
        <v>2.7590200652979177E-3</v>
      </c>
      <c r="W56" s="754">
        <f t="shared" si="19"/>
        <v>0</v>
      </c>
      <c r="X56" s="754">
        <f t="shared" si="20"/>
        <v>0</v>
      </c>
      <c r="Y56" s="754">
        <f t="shared" si="21"/>
        <v>0</v>
      </c>
      <c r="Z56" s="754">
        <f t="shared" si="22"/>
        <v>0</v>
      </c>
      <c r="AA56" s="754">
        <f t="shared" si="23"/>
        <v>0</v>
      </c>
      <c r="AB56" s="754">
        <f t="shared" si="24"/>
        <v>0</v>
      </c>
      <c r="AC56" s="754">
        <f t="shared" si="25"/>
        <v>0</v>
      </c>
      <c r="AD56" s="754">
        <f t="shared" si="26"/>
        <v>0</v>
      </c>
      <c r="AE56" s="754">
        <f t="shared" si="27"/>
        <v>1.8426317238162918E-3</v>
      </c>
      <c r="BX56" s="754"/>
    </row>
    <row r="57" spans="2:76">
      <c r="B57">
        <v>36</v>
      </c>
      <c r="C57">
        <v>0</v>
      </c>
      <c r="D57">
        <v>0</v>
      </c>
      <c r="E57">
        <v>0</v>
      </c>
      <c r="F57">
        <v>97</v>
      </c>
      <c r="G57">
        <v>85</v>
      </c>
      <c r="H57">
        <v>0</v>
      </c>
      <c r="I57">
        <v>269</v>
      </c>
      <c r="J57">
        <v>0</v>
      </c>
      <c r="K57">
        <v>168</v>
      </c>
      <c r="L57">
        <v>0</v>
      </c>
      <c r="M57">
        <v>0</v>
      </c>
      <c r="N57">
        <v>0</v>
      </c>
      <c r="O57">
        <v>0</v>
      </c>
      <c r="P57">
        <v>619</v>
      </c>
      <c r="R57" s="754">
        <f t="shared" si="14"/>
        <v>0</v>
      </c>
      <c r="S57" s="754">
        <f t="shared" si="15"/>
        <v>0</v>
      </c>
      <c r="T57" s="754">
        <f t="shared" si="16"/>
        <v>0</v>
      </c>
      <c r="U57" s="754">
        <f t="shared" si="17"/>
        <v>2.0835347058886704E-4</v>
      </c>
      <c r="V57" s="754">
        <f t="shared" si="18"/>
        <v>2.828910802778323E-4</v>
      </c>
      <c r="W57" s="754">
        <f t="shared" si="19"/>
        <v>0</v>
      </c>
      <c r="X57" s="754">
        <f t="shared" si="20"/>
        <v>9.1387803635128249E-3</v>
      </c>
      <c r="Y57" s="754">
        <f t="shared" si="21"/>
        <v>0</v>
      </c>
      <c r="Z57" s="754">
        <f t="shared" si="22"/>
        <v>5.4884024828487421E-2</v>
      </c>
      <c r="AA57" s="754">
        <f t="shared" si="23"/>
        <v>0</v>
      </c>
      <c r="AB57" s="754">
        <f t="shared" si="24"/>
        <v>0</v>
      </c>
      <c r="AC57" s="754">
        <f t="shared" si="25"/>
        <v>0</v>
      </c>
      <c r="AD57" s="754">
        <f t="shared" si="26"/>
        <v>0</v>
      </c>
      <c r="AE57" s="754">
        <f t="shared" si="27"/>
        <v>4.5678375532330178E-4</v>
      </c>
      <c r="BX57" s="754"/>
    </row>
    <row r="58" spans="2:76">
      <c r="B58">
        <v>37</v>
      </c>
      <c r="C58">
        <v>864</v>
      </c>
      <c r="D58">
        <v>0</v>
      </c>
      <c r="E58">
        <v>0</v>
      </c>
      <c r="F58">
        <v>0</v>
      </c>
      <c r="G58">
        <v>0</v>
      </c>
      <c r="H58">
        <v>0</v>
      </c>
      <c r="I58">
        <v>0</v>
      </c>
      <c r="J58">
        <v>48</v>
      </c>
      <c r="K58">
        <v>0</v>
      </c>
      <c r="L58">
        <v>0</v>
      </c>
      <c r="M58">
        <v>274</v>
      </c>
      <c r="N58">
        <v>0</v>
      </c>
      <c r="O58">
        <v>0</v>
      </c>
      <c r="P58">
        <v>1186</v>
      </c>
      <c r="R58" s="754">
        <f t="shared" si="14"/>
        <v>0.1147562757338292</v>
      </c>
      <c r="S58" s="754">
        <f t="shared" si="15"/>
        <v>0</v>
      </c>
      <c r="T58" s="754">
        <f t="shared" si="16"/>
        <v>0</v>
      </c>
      <c r="U58" s="754">
        <f t="shared" si="17"/>
        <v>0</v>
      </c>
      <c r="V58" s="754">
        <f t="shared" si="18"/>
        <v>0</v>
      </c>
      <c r="W58" s="754">
        <f t="shared" si="19"/>
        <v>0</v>
      </c>
      <c r="X58" s="754">
        <f t="shared" si="20"/>
        <v>0</v>
      </c>
      <c r="Y58" s="754">
        <f t="shared" si="21"/>
        <v>6.169665809768638E-3</v>
      </c>
      <c r="Z58" s="754">
        <f t="shared" si="22"/>
        <v>0</v>
      </c>
      <c r="AA58" s="754">
        <f t="shared" si="23"/>
        <v>0</v>
      </c>
      <c r="AB58" s="754">
        <f t="shared" si="24"/>
        <v>0.26783968719452589</v>
      </c>
      <c r="AC58" s="754">
        <f t="shared" si="25"/>
        <v>0</v>
      </c>
      <c r="AD58" s="754">
        <f t="shared" si="26"/>
        <v>0</v>
      </c>
      <c r="AE58" s="754">
        <f t="shared" si="27"/>
        <v>8.7519472344658468E-4</v>
      </c>
      <c r="BX58" s="754"/>
    </row>
    <row r="59" spans="2:76">
      <c r="B59">
        <v>38</v>
      </c>
      <c r="C59">
        <v>0</v>
      </c>
      <c r="D59">
        <v>0</v>
      </c>
      <c r="E59">
        <v>0</v>
      </c>
      <c r="F59">
        <v>729</v>
      </c>
      <c r="G59">
        <v>0</v>
      </c>
      <c r="H59">
        <v>0</v>
      </c>
      <c r="I59">
        <v>0</v>
      </c>
      <c r="J59">
        <v>0</v>
      </c>
      <c r="K59">
        <v>0</v>
      </c>
      <c r="L59">
        <v>0</v>
      </c>
      <c r="M59">
        <v>0</v>
      </c>
      <c r="N59">
        <v>0</v>
      </c>
      <c r="O59">
        <v>0</v>
      </c>
      <c r="P59">
        <v>729</v>
      </c>
      <c r="R59" s="754">
        <f t="shared" si="14"/>
        <v>0</v>
      </c>
      <c r="S59" s="754">
        <f t="shared" si="15"/>
        <v>0</v>
      </c>
      <c r="T59" s="754">
        <f t="shared" si="16"/>
        <v>0</v>
      </c>
      <c r="U59" s="754">
        <f t="shared" si="17"/>
        <v>1.5658729903018978E-3</v>
      </c>
      <c r="V59" s="754">
        <f t="shared" si="18"/>
        <v>0</v>
      </c>
      <c r="W59" s="754">
        <f t="shared" si="19"/>
        <v>0</v>
      </c>
      <c r="X59" s="754">
        <f t="shared" si="20"/>
        <v>0</v>
      </c>
      <c r="Y59" s="754">
        <f t="shared" si="21"/>
        <v>0</v>
      </c>
      <c r="Z59" s="754">
        <f t="shared" si="22"/>
        <v>0</v>
      </c>
      <c r="AA59" s="754">
        <f t="shared" si="23"/>
        <v>0</v>
      </c>
      <c r="AB59" s="754">
        <f t="shared" si="24"/>
        <v>0</v>
      </c>
      <c r="AC59" s="754">
        <f t="shared" si="25"/>
        <v>0</v>
      </c>
      <c r="AD59" s="754">
        <f t="shared" si="26"/>
        <v>0</v>
      </c>
      <c r="AE59" s="754">
        <f t="shared" si="27"/>
        <v>5.3795695901564947E-4</v>
      </c>
      <c r="BX59" s="754"/>
    </row>
    <row r="60" spans="2:76">
      <c r="B60">
        <v>39</v>
      </c>
      <c r="C60">
        <v>0</v>
      </c>
      <c r="D60">
        <v>0</v>
      </c>
      <c r="E60">
        <v>157</v>
      </c>
      <c r="F60">
        <v>0</v>
      </c>
      <c r="G60">
        <v>0</v>
      </c>
      <c r="H60">
        <v>135</v>
      </c>
      <c r="I60">
        <v>0</v>
      </c>
      <c r="J60">
        <v>0</v>
      </c>
      <c r="K60">
        <v>0</v>
      </c>
      <c r="L60">
        <v>0</v>
      </c>
      <c r="M60">
        <v>0</v>
      </c>
      <c r="N60">
        <v>0</v>
      </c>
      <c r="O60">
        <v>0</v>
      </c>
      <c r="P60">
        <v>292</v>
      </c>
      <c r="R60" s="754">
        <f t="shared" si="14"/>
        <v>0</v>
      </c>
      <c r="S60" s="754">
        <f t="shared" si="15"/>
        <v>0</v>
      </c>
      <c r="T60" s="754">
        <f t="shared" si="16"/>
        <v>4.570317389621013E-4</v>
      </c>
      <c r="U60" s="754">
        <f t="shared" si="17"/>
        <v>0</v>
      </c>
      <c r="V60" s="754">
        <f t="shared" si="18"/>
        <v>0</v>
      </c>
      <c r="W60" s="754">
        <f t="shared" si="19"/>
        <v>1.6556291390728477E-3</v>
      </c>
      <c r="X60" s="754">
        <f t="shared" si="20"/>
        <v>0</v>
      </c>
      <c r="Y60" s="754">
        <f t="shared" si="21"/>
        <v>0</v>
      </c>
      <c r="Z60" s="754">
        <f t="shared" si="22"/>
        <v>0</v>
      </c>
      <c r="AA60" s="754">
        <f t="shared" si="23"/>
        <v>0</v>
      </c>
      <c r="AB60" s="754">
        <f t="shared" si="24"/>
        <v>0</v>
      </c>
      <c r="AC60" s="754">
        <f t="shared" si="25"/>
        <v>0</v>
      </c>
      <c r="AD60" s="754">
        <f t="shared" si="26"/>
        <v>0</v>
      </c>
      <c r="AE60" s="754">
        <f t="shared" si="27"/>
        <v>2.1547795889241377E-4</v>
      </c>
      <c r="BX60" s="754"/>
    </row>
    <row r="61" spans="2:76">
      <c r="B61">
        <v>40</v>
      </c>
      <c r="C61">
        <v>1288</v>
      </c>
      <c r="D61">
        <v>390</v>
      </c>
      <c r="E61">
        <v>1219</v>
      </c>
      <c r="F61">
        <v>380</v>
      </c>
      <c r="G61">
        <v>1175</v>
      </c>
      <c r="H61">
        <v>0</v>
      </c>
      <c r="I61">
        <v>0</v>
      </c>
      <c r="J61">
        <v>314</v>
      </c>
      <c r="K61">
        <v>0</v>
      </c>
      <c r="L61">
        <v>0</v>
      </c>
      <c r="M61">
        <v>0</v>
      </c>
      <c r="N61">
        <v>0</v>
      </c>
      <c r="O61">
        <v>0</v>
      </c>
      <c r="P61">
        <v>4766</v>
      </c>
      <c r="R61" s="754">
        <f t="shared" si="14"/>
        <v>0.17107185549209722</v>
      </c>
      <c r="S61" s="754">
        <f t="shared" si="15"/>
        <v>3.4078695572391012E-3</v>
      </c>
      <c r="T61" s="754">
        <f t="shared" si="16"/>
        <v>3.5485457948713469E-3</v>
      </c>
      <c r="U61" s="754">
        <f t="shared" si="17"/>
        <v>8.1623009096669569E-4</v>
      </c>
      <c r="V61" s="754">
        <f t="shared" si="18"/>
        <v>3.9105531685465055E-3</v>
      </c>
      <c r="W61" s="754">
        <f t="shared" si="19"/>
        <v>0</v>
      </c>
      <c r="X61" s="754">
        <f t="shared" si="20"/>
        <v>0</v>
      </c>
      <c r="Y61" s="754">
        <f t="shared" si="21"/>
        <v>4.0359897172236502E-2</v>
      </c>
      <c r="Z61" s="754">
        <f t="shared" si="22"/>
        <v>0</v>
      </c>
      <c r="AA61" s="754">
        <f t="shared" si="23"/>
        <v>0</v>
      </c>
      <c r="AB61" s="754">
        <f t="shared" si="24"/>
        <v>0</v>
      </c>
      <c r="AC61" s="754">
        <f t="shared" si="25"/>
        <v>0</v>
      </c>
      <c r="AD61" s="754">
        <f t="shared" si="26"/>
        <v>0</v>
      </c>
      <c r="AE61" s="754">
        <f t="shared" si="27"/>
        <v>3.5170135345248084E-3</v>
      </c>
      <c r="BX61" s="754"/>
    </row>
    <row r="62" spans="2:76">
      <c r="B62">
        <v>41</v>
      </c>
      <c r="C62">
        <v>0</v>
      </c>
      <c r="D62">
        <v>0</v>
      </c>
      <c r="E62">
        <v>0</v>
      </c>
      <c r="F62">
        <v>560</v>
      </c>
      <c r="G62">
        <v>0</v>
      </c>
      <c r="H62">
        <v>0</v>
      </c>
      <c r="I62">
        <v>0</v>
      </c>
      <c r="J62">
        <v>0</v>
      </c>
      <c r="K62">
        <v>0</v>
      </c>
      <c r="L62">
        <v>0</v>
      </c>
      <c r="M62">
        <v>0</v>
      </c>
      <c r="N62">
        <v>0</v>
      </c>
      <c r="O62">
        <v>0</v>
      </c>
      <c r="P62">
        <v>560</v>
      </c>
      <c r="R62" s="754">
        <f t="shared" si="14"/>
        <v>0</v>
      </c>
      <c r="S62" s="754">
        <f t="shared" si="15"/>
        <v>0</v>
      </c>
      <c r="T62" s="754">
        <f t="shared" si="16"/>
        <v>0</v>
      </c>
      <c r="U62" s="754">
        <f t="shared" si="17"/>
        <v>1.2028653972140778E-3</v>
      </c>
      <c r="V62" s="754">
        <f t="shared" si="18"/>
        <v>0</v>
      </c>
      <c r="W62" s="754">
        <f t="shared" si="19"/>
        <v>0</v>
      </c>
      <c r="X62" s="754">
        <f t="shared" si="20"/>
        <v>0</v>
      </c>
      <c r="Y62" s="754">
        <f t="shared" si="21"/>
        <v>0</v>
      </c>
      <c r="Z62" s="754">
        <f t="shared" si="22"/>
        <v>0</v>
      </c>
      <c r="AA62" s="754">
        <f t="shared" si="23"/>
        <v>0</v>
      </c>
      <c r="AB62" s="754">
        <f t="shared" si="24"/>
        <v>0</v>
      </c>
      <c r="AC62" s="754">
        <f t="shared" si="25"/>
        <v>0</v>
      </c>
      <c r="AD62" s="754">
        <f t="shared" si="26"/>
        <v>0</v>
      </c>
      <c r="AE62" s="754">
        <f t="shared" si="27"/>
        <v>4.1324540061558808E-4</v>
      </c>
      <c r="BX62" s="754"/>
    </row>
    <row r="63" spans="2:76">
      <c r="B63">
        <v>42</v>
      </c>
      <c r="C63">
        <v>0</v>
      </c>
      <c r="D63">
        <v>0</v>
      </c>
      <c r="E63">
        <v>0</v>
      </c>
      <c r="F63">
        <v>249</v>
      </c>
      <c r="G63">
        <v>631</v>
      </c>
      <c r="H63">
        <v>0</v>
      </c>
      <c r="I63">
        <v>0</v>
      </c>
      <c r="J63">
        <v>0</v>
      </c>
      <c r="K63">
        <v>0</v>
      </c>
      <c r="L63">
        <v>0</v>
      </c>
      <c r="M63">
        <v>0</v>
      </c>
      <c r="N63">
        <v>0</v>
      </c>
      <c r="O63">
        <v>0</v>
      </c>
      <c r="P63">
        <v>880</v>
      </c>
      <c r="R63" s="754">
        <f t="shared" si="14"/>
        <v>0</v>
      </c>
      <c r="S63" s="754">
        <f t="shared" si="15"/>
        <v>0</v>
      </c>
      <c r="T63" s="754">
        <f t="shared" si="16"/>
        <v>0</v>
      </c>
      <c r="U63" s="754">
        <f t="shared" si="17"/>
        <v>5.3484550697554536E-4</v>
      </c>
      <c r="V63" s="754">
        <f t="shared" si="18"/>
        <v>2.1000502547683787E-3</v>
      </c>
      <c r="W63" s="754">
        <f t="shared" si="19"/>
        <v>0</v>
      </c>
      <c r="X63" s="754">
        <f t="shared" si="20"/>
        <v>0</v>
      </c>
      <c r="Y63" s="754">
        <f t="shared" si="21"/>
        <v>0</v>
      </c>
      <c r="Z63" s="754">
        <f t="shared" si="22"/>
        <v>0</v>
      </c>
      <c r="AA63" s="754">
        <f t="shared" si="23"/>
        <v>0</v>
      </c>
      <c r="AB63" s="754">
        <f t="shared" si="24"/>
        <v>0</v>
      </c>
      <c r="AC63" s="754">
        <f t="shared" si="25"/>
        <v>0</v>
      </c>
      <c r="AD63" s="754">
        <f t="shared" si="26"/>
        <v>0</v>
      </c>
      <c r="AE63" s="754">
        <f t="shared" si="27"/>
        <v>6.4938562953878128E-4</v>
      </c>
      <c r="BX63" s="754"/>
    </row>
    <row r="64" spans="2:76">
      <c r="B64">
        <v>43</v>
      </c>
      <c r="C64">
        <v>0</v>
      </c>
      <c r="D64">
        <v>0</v>
      </c>
      <c r="E64">
        <v>0</v>
      </c>
      <c r="F64">
        <v>160</v>
      </c>
      <c r="G64">
        <v>0</v>
      </c>
      <c r="H64">
        <v>0</v>
      </c>
      <c r="I64">
        <v>0</v>
      </c>
      <c r="J64">
        <v>0</v>
      </c>
      <c r="K64">
        <v>0</v>
      </c>
      <c r="L64">
        <v>0</v>
      </c>
      <c r="M64">
        <v>0</v>
      </c>
      <c r="N64">
        <v>0</v>
      </c>
      <c r="O64">
        <v>0</v>
      </c>
      <c r="P64">
        <v>160</v>
      </c>
      <c r="R64" s="754">
        <f t="shared" si="14"/>
        <v>0</v>
      </c>
      <c r="S64" s="754">
        <f t="shared" si="15"/>
        <v>0</v>
      </c>
      <c r="T64" s="754">
        <f t="shared" si="16"/>
        <v>0</v>
      </c>
      <c r="U64" s="754">
        <f t="shared" si="17"/>
        <v>3.4367582777545082E-4</v>
      </c>
      <c r="V64" s="754">
        <f t="shared" si="18"/>
        <v>0</v>
      </c>
      <c r="W64" s="754">
        <f t="shared" si="19"/>
        <v>0</v>
      </c>
      <c r="X64" s="754">
        <f t="shared" si="20"/>
        <v>0</v>
      </c>
      <c r="Y64" s="754">
        <f t="shared" si="21"/>
        <v>0</v>
      </c>
      <c r="Z64" s="754">
        <f t="shared" si="22"/>
        <v>0</v>
      </c>
      <c r="AA64" s="754">
        <f t="shared" si="23"/>
        <v>0</v>
      </c>
      <c r="AB64" s="754">
        <f t="shared" si="24"/>
        <v>0</v>
      </c>
      <c r="AC64" s="754">
        <f t="shared" si="25"/>
        <v>0</v>
      </c>
      <c r="AD64" s="754">
        <f t="shared" si="26"/>
        <v>0</v>
      </c>
      <c r="AE64" s="754">
        <f t="shared" si="27"/>
        <v>1.1807011446159659E-4</v>
      </c>
      <c r="BX64" s="754"/>
    </row>
    <row r="65" spans="1:76">
      <c r="B65">
        <v>45</v>
      </c>
      <c r="C65">
        <v>0</v>
      </c>
      <c r="D65">
        <v>0</v>
      </c>
      <c r="E65">
        <v>0</v>
      </c>
      <c r="F65">
        <v>377</v>
      </c>
      <c r="G65">
        <v>0</v>
      </c>
      <c r="H65">
        <v>0</v>
      </c>
      <c r="I65">
        <v>0</v>
      </c>
      <c r="J65">
        <v>0</v>
      </c>
      <c r="K65">
        <v>0</v>
      </c>
      <c r="L65">
        <v>0</v>
      </c>
      <c r="M65">
        <v>0</v>
      </c>
      <c r="N65">
        <v>0</v>
      </c>
      <c r="O65">
        <v>0</v>
      </c>
      <c r="P65">
        <v>377</v>
      </c>
      <c r="R65" s="754">
        <f t="shared" si="14"/>
        <v>0</v>
      </c>
      <c r="S65" s="754">
        <f t="shared" si="15"/>
        <v>0</v>
      </c>
      <c r="T65" s="754">
        <f t="shared" si="16"/>
        <v>0</v>
      </c>
      <c r="U65" s="754">
        <f t="shared" si="17"/>
        <v>8.0978616919590593E-4</v>
      </c>
      <c r="V65" s="754">
        <f t="shared" si="18"/>
        <v>0</v>
      </c>
      <c r="W65" s="754">
        <f t="shared" si="19"/>
        <v>0</v>
      </c>
      <c r="X65" s="754">
        <f t="shared" si="20"/>
        <v>0</v>
      </c>
      <c r="Y65" s="754">
        <f t="shared" si="21"/>
        <v>0</v>
      </c>
      <c r="Z65" s="754">
        <f t="shared" si="22"/>
        <v>0</v>
      </c>
      <c r="AA65" s="754">
        <f t="shared" si="23"/>
        <v>0</v>
      </c>
      <c r="AB65" s="754">
        <f t="shared" si="24"/>
        <v>0</v>
      </c>
      <c r="AC65" s="754">
        <f t="shared" si="25"/>
        <v>0</v>
      </c>
      <c r="AD65" s="754">
        <f t="shared" si="26"/>
        <v>0</v>
      </c>
      <c r="AE65" s="754">
        <f t="shared" si="27"/>
        <v>2.7820270720013696E-4</v>
      </c>
      <c r="BX65" s="754"/>
    </row>
    <row r="66" spans="1:76">
      <c r="B66">
        <v>46</v>
      </c>
      <c r="C66">
        <v>0</v>
      </c>
      <c r="D66">
        <v>0</v>
      </c>
      <c r="E66">
        <v>400</v>
      </c>
      <c r="F66">
        <v>194</v>
      </c>
      <c r="G66">
        <v>0</v>
      </c>
      <c r="H66">
        <v>504</v>
      </c>
      <c r="I66">
        <v>0</v>
      </c>
      <c r="J66">
        <v>0</v>
      </c>
      <c r="K66">
        <v>0</v>
      </c>
      <c r="L66">
        <v>0</v>
      </c>
      <c r="M66">
        <v>0</v>
      </c>
      <c r="N66">
        <v>0</v>
      </c>
      <c r="O66">
        <v>0</v>
      </c>
      <c r="P66">
        <v>1098</v>
      </c>
      <c r="R66" s="754">
        <f t="shared" si="14"/>
        <v>0</v>
      </c>
      <c r="S66" s="754">
        <f t="shared" si="15"/>
        <v>0</v>
      </c>
      <c r="T66" s="754">
        <f t="shared" si="16"/>
        <v>1.1644120737887931E-3</v>
      </c>
      <c r="U66" s="754">
        <f t="shared" si="17"/>
        <v>4.1670694117773409E-4</v>
      </c>
      <c r="V66" s="754">
        <f t="shared" si="18"/>
        <v>0</v>
      </c>
      <c r="W66" s="754">
        <f t="shared" si="19"/>
        <v>6.1810154525386313E-3</v>
      </c>
      <c r="X66" s="754">
        <f t="shared" si="20"/>
        <v>0</v>
      </c>
      <c r="Y66" s="754">
        <f t="shared" si="21"/>
        <v>0</v>
      </c>
      <c r="Z66" s="754">
        <f t="shared" si="22"/>
        <v>0</v>
      </c>
      <c r="AA66" s="754">
        <f t="shared" si="23"/>
        <v>0</v>
      </c>
      <c r="AB66" s="754">
        <f t="shared" si="24"/>
        <v>0</v>
      </c>
      <c r="AC66" s="754">
        <f t="shared" si="25"/>
        <v>0</v>
      </c>
      <c r="AD66" s="754">
        <f t="shared" si="26"/>
        <v>0</v>
      </c>
      <c r="AE66" s="754">
        <f t="shared" si="27"/>
        <v>8.1025616049270656E-4</v>
      </c>
      <c r="BX66" s="754"/>
    </row>
    <row r="67" spans="1:76">
      <c r="B67">
        <v>47</v>
      </c>
      <c r="C67">
        <v>0</v>
      </c>
      <c r="D67">
        <v>0</v>
      </c>
      <c r="E67">
        <v>400</v>
      </c>
      <c r="F67">
        <v>0</v>
      </c>
      <c r="G67">
        <v>0</v>
      </c>
      <c r="H67">
        <v>0</v>
      </c>
      <c r="I67">
        <v>0</v>
      </c>
      <c r="J67">
        <v>310</v>
      </c>
      <c r="K67">
        <v>0</v>
      </c>
      <c r="L67">
        <v>0</v>
      </c>
      <c r="M67">
        <v>0</v>
      </c>
      <c r="N67">
        <v>0</v>
      </c>
      <c r="O67">
        <v>0</v>
      </c>
      <c r="P67">
        <v>710</v>
      </c>
      <c r="R67" s="754">
        <f t="shared" si="14"/>
        <v>0</v>
      </c>
      <c r="S67" s="754">
        <f t="shared" si="15"/>
        <v>0</v>
      </c>
      <c r="T67" s="754">
        <f t="shared" si="16"/>
        <v>1.1644120737887931E-3</v>
      </c>
      <c r="U67" s="754">
        <f t="shared" si="17"/>
        <v>0</v>
      </c>
      <c r="V67" s="754">
        <f t="shared" si="18"/>
        <v>0</v>
      </c>
      <c r="W67" s="754">
        <f t="shared" si="19"/>
        <v>0</v>
      </c>
      <c r="X67" s="754">
        <f t="shared" si="20"/>
        <v>0</v>
      </c>
      <c r="Y67" s="754">
        <f t="shared" si="21"/>
        <v>3.9845758354755782E-2</v>
      </c>
      <c r="Z67" s="754">
        <f t="shared" si="22"/>
        <v>0</v>
      </c>
      <c r="AA67" s="754">
        <f t="shared" si="23"/>
        <v>0</v>
      </c>
      <c r="AB67" s="754">
        <f t="shared" si="24"/>
        <v>0</v>
      </c>
      <c r="AC67" s="754">
        <f t="shared" si="25"/>
        <v>0</v>
      </c>
      <c r="AD67" s="754">
        <f t="shared" si="26"/>
        <v>0</v>
      </c>
      <c r="AE67" s="754">
        <f t="shared" si="27"/>
        <v>5.239361329233349E-4</v>
      </c>
      <c r="BX67" s="754"/>
    </row>
    <row r="68" spans="1:76">
      <c r="B68">
        <v>48</v>
      </c>
      <c r="C68">
        <v>0</v>
      </c>
      <c r="D68">
        <v>0</v>
      </c>
      <c r="E68">
        <v>0</v>
      </c>
      <c r="F68">
        <v>0</v>
      </c>
      <c r="G68">
        <v>462</v>
      </c>
      <c r="H68">
        <v>0</v>
      </c>
      <c r="I68">
        <v>0</v>
      </c>
      <c r="J68">
        <v>0</v>
      </c>
      <c r="K68">
        <v>0</v>
      </c>
      <c r="L68">
        <v>0</v>
      </c>
      <c r="M68">
        <v>0</v>
      </c>
      <c r="N68">
        <v>0</v>
      </c>
      <c r="O68">
        <v>0</v>
      </c>
      <c r="P68">
        <v>462</v>
      </c>
      <c r="R68" s="754">
        <f t="shared" si="14"/>
        <v>0</v>
      </c>
      <c r="S68" s="754">
        <f t="shared" si="15"/>
        <v>0</v>
      </c>
      <c r="T68" s="754">
        <f t="shared" si="16"/>
        <v>0</v>
      </c>
      <c r="U68" s="754">
        <f t="shared" si="17"/>
        <v>0</v>
      </c>
      <c r="V68" s="754">
        <f t="shared" si="18"/>
        <v>1.537596224568924E-3</v>
      </c>
      <c r="W68" s="754">
        <f t="shared" si="19"/>
        <v>0</v>
      </c>
      <c r="X68" s="754">
        <f t="shared" si="20"/>
        <v>0</v>
      </c>
      <c r="Y68" s="754">
        <f t="shared" si="21"/>
        <v>0</v>
      </c>
      <c r="Z68" s="754">
        <f t="shared" si="22"/>
        <v>0</v>
      </c>
      <c r="AA68" s="754">
        <f t="shared" si="23"/>
        <v>0</v>
      </c>
      <c r="AB68" s="754">
        <f t="shared" si="24"/>
        <v>0</v>
      </c>
      <c r="AC68" s="754">
        <f t="shared" si="25"/>
        <v>0</v>
      </c>
      <c r="AD68" s="754">
        <f t="shared" si="26"/>
        <v>0</v>
      </c>
      <c r="AE68" s="754">
        <f t="shared" si="27"/>
        <v>3.4092745550786015E-4</v>
      </c>
      <c r="BX68" s="754"/>
    </row>
    <row r="69" spans="1:76">
      <c r="B69">
        <v>50</v>
      </c>
      <c r="C69">
        <v>0</v>
      </c>
      <c r="D69">
        <v>0</v>
      </c>
      <c r="E69">
        <v>0</v>
      </c>
      <c r="F69">
        <v>245</v>
      </c>
      <c r="G69">
        <v>43</v>
      </c>
      <c r="H69">
        <v>0</v>
      </c>
      <c r="I69">
        <v>0</v>
      </c>
      <c r="J69">
        <v>0</v>
      </c>
      <c r="K69">
        <v>0</v>
      </c>
      <c r="L69">
        <v>0</v>
      </c>
      <c r="M69">
        <v>0</v>
      </c>
      <c r="N69">
        <v>0</v>
      </c>
      <c r="O69">
        <v>0</v>
      </c>
      <c r="P69">
        <v>288</v>
      </c>
      <c r="R69" s="754">
        <f t="shared" si="14"/>
        <v>0</v>
      </c>
      <c r="S69" s="754">
        <f t="shared" si="15"/>
        <v>0</v>
      </c>
      <c r="T69" s="754">
        <f t="shared" si="16"/>
        <v>0</v>
      </c>
      <c r="U69" s="754">
        <f t="shared" si="17"/>
        <v>5.2625361128115901E-4</v>
      </c>
      <c r="V69" s="754">
        <f t="shared" si="18"/>
        <v>1.4310960531702105E-4</v>
      </c>
      <c r="W69" s="754">
        <f t="shared" si="19"/>
        <v>0</v>
      </c>
      <c r="X69" s="754">
        <f t="shared" si="20"/>
        <v>0</v>
      </c>
      <c r="Y69" s="754">
        <f t="shared" si="21"/>
        <v>0</v>
      </c>
      <c r="Z69" s="754">
        <f t="shared" si="22"/>
        <v>0</v>
      </c>
      <c r="AA69" s="754">
        <f t="shared" si="23"/>
        <v>0</v>
      </c>
      <c r="AB69" s="754">
        <f t="shared" si="24"/>
        <v>0</v>
      </c>
      <c r="AC69" s="754">
        <f t="shared" si="25"/>
        <v>0</v>
      </c>
      <c r="AD69" s="754">
        <f t="shared" si="26"/>
        <v>0</v>
      </c>
      <c r="AE69" s="754">
        <f t="shared" si="27"/>
        <v>2.1252620603087386E-4</v>
      </c>
      <c r="BX69" s="754"/>
    </row>
    <row r="70" spans="1:76">
      <c r="B70">
        <v>54</v>
      </c>
      <c r="C70">
        <v>0</v>
      </c>
      <c r="D70">
        <v>0</v>
      </c>
      <c r="E70">
        <v>205</v>
      </c>
      <c r="F70">
        <v>0</v>
      </c>
      <c r="G70">
        <v>0</v>
      </c>
      <c r="H70">
        <v>0</v>
      </c>
      <c r="I70">
        <v>0</v>
      </c>
      <c r="J70">
        <v>0</v>
      </c>
      <c r="K70">
        <v>0</v>
      </c>
      <c r="L70">
        <v>0</v>
      </c>
      <c r="M70">
        <v>0</v>
      </c>
      <c r="N70">
        <v>0</v>
      </c>
      <c r="O70">
        <v>0</v>
      </c>
      <c r="P70">
        <v>205</v>
      </c>
      <c r="R70" s="754">
        <f t="shared" si="14"/>
        <v>0</v>
      </c>
      <c r="S70" s="754">
        <f t="shared" si="15"/>
        <v>0</v>
      </c>
      <c r="T70" s="754">
        <f t="shared" si="16"/>
        <v>5.9676118781675652E-4</v>
      </c>
      <c r="U70" s="754">
        <f t="shared" si="17"/>
        <v>0</v>
      </c>
      <c r="V70" s="754">
        <f t="shared" si="18"/>
        <v>0</v>
      </c>
      <c r="W70" s="754">
        <f t="shared" si="19"/>
        <v>0</v>
      </c>
      <c r="X70" s="754">
        <f t="shared" si="20"/>
        <v>0</v>
      </c>
      <c r="Y70" s="754">
        <f t="shared" si="21"/>
        <v>0</v>
      </c>
      <c r="Z70" s="754">
        <f t="shared" si="22"/>
        <v>0</v>
      </c>
      <c r="AA70" s="754">
        <f t="shared" si="23"/>
        <v>0</v>
      </c>
      <c r="AB70" s="754">
        <f t="shared" si="24"/>
        <v>0</v>
      </c>
      <c r="AC70" s="754">
        <f t="shared" si="25"/>
        <v>0</v>
      </c>
      <c r="AD70" s="754">
        <f t="shared" si="26"/>
        <v>0</v>
      </c>
      <c r="AE70" s="754">
        <f t="shared" si="27"/>
        <v>1.5127733415392063E-4</v>
      </c>
      <c r="BX70" s="754"/>
    </row>
    <row r="71" spans="1:76">
      <c r="B71">
        <v>55</v>
      </c>
      <c r="C71">
        <v>0</v>
      </c>
      <c r="D71">
        <v>0</v>
      </c>
      <c r="E71">
        <v>0</v>
      </c>
      <c r="F71">
        <v>0</v>
      </c>
      <c r="G71">
        <v>0</v>
      </c>
      <c r="H71">
        <v>138</v>
      </c>
      <c r="I71">
        <v>0</v>
      </c>
      <c r="J71">
        <v>0</v>
      </c>
      <c r="K71">
        <v>0</v>
      </c>
      <c r="L71">
        <v>0</v>
      </c>
      <c r="M71">
        <v>0</v>
      </c>
      <c r="N71">
        <v>0</v>
      </c>
      <c r="O71">
        <v>0</v>
      </c>
      <c r="P71">
        <v>138</v>
      </c>
      <c r="R71" s="754">
        <f t="shared" si="14"/>
        <v>0</v>
      </c>
      <c r="S71" s="754">
        <f t="shared" si="15"/>
        <v>0</v>
      </c>
      <c r="T71" s="754">
        <f t="shared" si="16"/>
        <v>0</v>
      </c>
      <c r="U71" s="754">
        <f t="shared" si="17"/>
        <v>0</v>
      </c>
      <c r="V71" s="754">
        <f t="shared" si="18"/>
        <v>0</v>
      </c>
      <c r="W71" s="754">
        <f t="shared" si="19"/>
        <v>1.692420897718911E-3</v>
      </c>
      <c r="X71" s="754">
        <f t="shared" si="20"/>
        <v>0</v>
      </c>
      <c r="Y71" s="754">
        <f t="shared" si="21"/>
        <v>0</v>
      </c>
      <c r="Z71" s="754">
        <f t="shared" si="22"/>
        <v>0</v>
      </c>
      <c r="AA71" s="754">
        <f t="shared" si="23"/>
        <v>0</v>
      </c>
      <c r="AB71" s="754">
        <f t="shared" si="24"/>
        <v>0</v>
      </c>
      <c r="AC71" s="754">
        <f t="shared" si="25"/>
        <v>0</v>
      </c>
      <c r="AD71" s="754">
        <f t="shared" si="26"/>
        <v>0</v>
      </c>
      <c r="AE71" s="754">
        <f t="shared" si="27"/>
        <v>1.0183547372312705E-4</v>
      </c>
      <c r="BX71" s="754"/>
    </row>
    <row r="72" spans="1:76">
      <c r="B72">
        <v>63</v>
      </c>
      <c r="C72">
        <v>0</v>
      </c>
      <c r="D72">
        <v>196</v>
      </c>
      <c r="E72">
        <v>392</v>
      </c>
      <c r="F72">
        <v>0</v>
      </c>
      <c r="G72">
        <v>333</v>
      </c>
      <c r="H72">
        <v>0</v>
      </c>
      <c r="I72">
        <v>0</v>
      </c>
      <c r="J72">
        <v>0</v>
      </c>
      <c r="K72">
        <v>0</v>
      </c>
      <c r="L72">
        <v>0</v>
      </c>
      <c r="M72">
        <v>0</v>
      </c>
      <c r="N72">
        <v>0</v>
      </c>
      <c r="O72">
        <v>0</v>
      </c>
      <c r="P72">
        <v>921</v>
      </c>
      <c r="R72" s="754">
        <f t="shared" si="14"/>
        <v>0</v>
      </c>
      <c r="S72" s="754">
        <f t="shared" si="15"/>
        <v>1.7126729056893945E-3</v>
      </c>
      <c r="T72" s="754">
        <f t="shared" si="16"/>
        <v>1.1411238323130173E-3</v>
      </c>
      <c r="U72" s="754">
        <f t="shared" si="17"/>
        <v>0</v>
      </c>
      <c r="V72" s="754">
        <f t="shared" si="18"/>
        <v>1.1082674086178607E-3</v>
      </c>
      <c r="W72" s="754">
        <f t="shared" si="19"/>
        <v>0</v>
      </c>
      <c r="X72" s="754">
        <f t="shared" si="20"/>
        <v>0</v>
      </c>
      <c r="Y72" s="754">
        <f t="shared" si="21"/>
        <v>0</v>
      </c>
      <c r="Z72" s="754">
        <f t="shared" si="22"/>
        <v>0</v>
      </c>
      <c r="AA72" s="754">
        <f t="shared" si="23"/>
        <v>0</v>
      </c>
      <c r="AB72" s="754">
        <f t="shared" si="24"/>
        <v>0</v>
      </c>
      <c r="AC72" s="754">
        <f t="shared" si="25"/>
        <v>0</v>
      </c>
      <c r="AD72" s="754">
        <f t="shared" si="26"/>
        <v>0</v>
      </c>
      <c r="AE72" s="754">
        <f t="shared" si="27"/>
        <v>6.7964109636956536E-4</v>
      </c>
      <c r="BX72" s="754"/>
    </row>
    <row r="73" spans="1:76">
      <c r="B73">
        <v>87</v>
      </c>
      <c r="C73">
        <v>0</v>
      </c>
      <c r="D73">
        <v>38</v>
      </c>
      <c r="E73">
        <v>0</v>
      </c>
      <c r="F73">
        <v>0</v>
      </c>
      <c r="G73">
        <v>0</v>
      </c>
      <c r="H73">
        <v>0</v>
      </c>
      <c r="I73">
        <v>0</v>
      </c>
      <c r="J73">
        <v>0</v>
      </c>
      <c r="K73">
        <v>0</v>
      </c>
      <c r="L73">
        <v>0</v>
      </c>
      <c r="M73">
        <v>0</v>
      </c>
      <c r="N73">
        <v>0</v>
      </c>
      <c r="O73">
        <v>0</v>
      </c>
      <c r="P73">
        <v>38</v>
      </c>
      <c r="R73" s="754">
        <f t="shared" si="14"/>
        <v>0</v>
      </c>
      <c r="S73" s="754">
        <f t="shared" si="15"/>
        <v>3.3204882865406631E-4</v>
      </c>
      <c r="T73" s="754">
        <f t="shared" si="16"/>
        <v>0</v>
      </c>
      <c r="U73" s="754">
        <f t="shared" si="17"/>
        <v>0</v>
      </c>
      <c r="V73" s="754">
        <f t="shared" si="18"/>
        <v>0</v>
      </c>
      <c r="W73" s="754">
        <f t="shared" si="19"/>
        <v>0</v>
      </c>
      <c r="X73" s="754">
        <f t="shared" si="20"/>
        <v>0</v>
      </c>
      <c r="Y73" s="754">
        <f t="shared" si="21"/>
        <v>0</v>
      </c>
      <c r="Z73" s="754">
        <f t="shared" si="22"/>
        <v>0</v>
      </c>
      <c r="AA73" s="754">
        <f t="shared" si="23"/>
        <v>0</v>
      </c>
      <c r="AB73" s="754">
        <f t="shared" si="24"/>
        <v>0</v>
      </c>
      <c r="AC73" s="754">
        <f t="shared" si="25"/>
        <v>0</v>
      </c>
      <c r="AD73" s="754">
        <f t="shared" si="26"/>
        <v>0</v>
      </c>
      <c r="AE73" s="754">
        <f t="shared" si="27"/>
        <v>2.8041652184629189E-5</v>
      </c>
      <c r="BX73" s="754"/>
    </row>
    <row r="74" spans="1:76">
      <c r="B74">
        <v>99</v>
      </c>
      <c r="C74">
        <v>0</v>
      </c>
      <c r="D74">
        <v>1104</v>
      </c>
      <c r="E74">
        <v>1248</v>
      </c>
      <c r="F74">
        <v>38</v>
      </c>
      <c r="G74">
        <v>118</v>
      </c>
      <c r="H74">
        <v>100</v>
      </c>
      <c r="I74">
        <v>0</v>
      </c>
      <c r="J74">
        <v>0</v>
      </c>
      <c r="K74">
        <v>0</v>
      </c>
      <c r="L74">
        <v>0</v>
      </c>
      <c r="M74">
        <v>0</v>
      </c>
      <c r="N74">
        <v>0</v>
      </c>
      <c r="O74">
        <v>0</v>
      </c>
      <c r="P74">
        <v>2608</v>
      </c>
      <c r="R74" s="754">
        <f t="shared" si="14"/>
        <v>0</v>
      </c>
      <c r="S74" s="754">
        <f t="shared" si="15"/>
        <v>9.6468922851076101E-3</v>
      </c>
      <c r="T74" s="754">
        <f t="shared" si="16"/>
        <v>3.6329656702210346E-3</v>
      </c>
      <c r="U74" s="754">
        <f t="shared" si="17"/>
        <v>8.1623009096669572E-5</v>
      </c>
      <c r="V74" s="754">
        <f t="shared" si="18"/>
        <v>3.9271938203275545E-4</v>
      </c>
      <c r="W74" s="754">
        <f t="shared" si="19"/>
        <v>1.2263919548687761E-3</v>
      </c>
      <c r="X74" s="754">
        <f t="shared" si="20"/>
        <v>0</v>
      </c>
      <c r="Y74" s="754">
        <f t="shared" si="21"/>
        <v>0</v>
      </c>
      <c r="Z74" s="754">
        <f t="shared" si="22"/>
        <v>0</v>
      </c>
      <c r="AA74" s="754">
        <f t="shared" si="23"/>
        <v>0</v>
      </c>
      <c r="AB74" s="754">
        <f t="shared" si="24"/>
        <v>0</v>
      </c>
      <c r="AC74" s="754">
        <f t="shared" si="25"/>
        <v>0</v>
      </c>
      <c r="AD74" s="754">
        <f t="shared" si="26"/>
        <v>0</v>
      </c>
      <c r="AE74" s="754">
        <f t="shared" si="27"/>
        <v>1.9245428657240244E-3</v>
      </c>
      <c r="BX74" s="754"/>
    </row>
    <row r="75" spans="1:76">
      <c r="B75">
        <v>100</v>
      </c>
      <c r="C75">
        <v>0</v>
      </c>
      <c r="D75">
        <v>0</v>
      </c>
      <c r="E75">
        <v>0</v>
      </c>
      <c r="F75">
        <v>584</v>
      </c>
      <c r="G75">
        <v>0</v>
      </c>
      <c r="H75">
        <v>0</v>
      </c>
      <c r="I75">
        <v>0</v>
      </c>
      <c r="J75">
        <v>0</v>
      </c>
      <c r="K75">
        <v>0</v>
      </c>
      <c r="L75">
        <v>0</v>
      </c>
      <c r="M75">
        <v>0</v>
      </c>
      <c r="N75">
        <v>0</v>
      </c>
      <c r="O75">
        <v>0</v>
      </c>
      <c r="P75">
        <v>584</v>
      </c>
      <c r="R75" s="754">
        <f t="shared" si="14"/>
        <v>0</v>
      </c>
      <c r="S75" s="754">
        <f t="shared" si="15"/>
        <v>0</v>
      </c>
      <c r="T75" s="754">
        <f t="shared" si="16"/>
        <v>0</v>
      </c>
      <c r="U75" s="754">
        <f t="shared" si="17"/>
        <v>1.2544167713803955E-3</v>
      </c>
      <c r="V75" s="754">
        <f t="shared" si="18"/>
        <v>0</v>
      </c>
      <c r="W75" s="754">
        <f t="shared" si="19"/>
        <v>0</v>
      </c>
      <c r="X75" s="754">
        <f t="shared" si="20"/>
        <v>0</v>
      </c>
      <c r="Y75" s="754">
        <f t="shared" si="21"/>
        <v>0</v>
      </c>
      <c r="Z75" s="754">
        <f t="shared" si="22"/>
        <v>0</v>
      </c>
      <c r="AA75" s="754">
        <f t="shared" si="23"/>
        <v>0</v>
      </c>
      <c r="AB75" s="754">
        <f t="shared" si="24"/>
        <v>0</v>
      </c>
      <c r="AC75" s="754">
        <f t="shared" si="25"/>
        <v>0</v>
      </c>
      <c r="AD75" s="754">
        <f t="shared" si="26"/>
        <v>0</v>
      </c>
      <c r="AE75" s="754">
        <f t="shared" si="27"/>
        <v>4.3095591778482753E-4</v>
      </c>
      <c r="BX75" s="754"/>
    </row>
    <row r="76" spans="1:76">
      <c r="B76">
        <v>190</v>
      </c>
      <c r="C76">
        <v>0</v>
      </c>
      <c r="D76">
        <v>0</v>
      </c>
      <c r="E76">
        <v>0</v>
      </c>
      <c r="F76">
        <v>0</v>
      </c>
      <c r="G76">
        <v>933</v>
      </c>
      <c r="H76">
        <v>0</v>
      </c>
      <c r="I76">
        <v>0</v>
      </c>
      <c r="J76">
        <v>0</v>
      </c>
      <c r="K76">
        <v>0</v>
      </c>
      <c r="L76">
        <v>0</v>
      </c>
      <c r="M76">
        <v>0</v>
      </c>
      <c r="N76">
        <v>0</v>
      </c>
      <c r="O76">
        <v>0</v>
      </c>
      <c r="P76">
        <v>933</v>
      </c>
      <c r="R76" s="754">
        <f t="shared" si="14"/>
        <v>0</v>
      </c>
      <c r="S76" s="754">
        <f t="shared" si="15"/>
        <v>0</v>
      </c>
      <c r="T76" s="754">
        <f t="shared" si="16"/>
        <v>0</v>
      </c>
      <c r="U76" s="754">
        <f t="shared" si="17"/>
        <v>0</v>
      </c>
      <c r="V76" s="754">
        <f t="shared" si="18"/>
        <v>3.1051456223437361E-3</v>
      </c>
      <c r="W76" s="754">
        <f t="shared" si="19"/>
        <v>0</v>
      </c>
      <c r="X76" s="754">
        <f t="shared" si="20"/>
        <v>0</v>
      </c>
      <c r="Y76" s="754">
        <f t="shared" si="21"/>
        <v>0</v>
      </c>
      <c r="Z76" s="754">
        <f t="shared" si="22"/>
        <v>0</v>
      </c>
      <c r="AA76" s="754">
        <f t="shared" si="23"/>
        <v>0</v>
      </c>
      <c r="AB76" s="754">
        <f t="shared" si="24"/>
        <v>0</v>
      </c>
      <c r="AC76" s="754">
        <f t="shared" si="25"/>
        <v>0</v>
      </c>
      <c r="AD76" s="754">
        <f t="shared" si="26"/>
        <v>0</v>
      </c>
      <c r="AE76" s="754">
        <f t="shared" si="27"/>
        <v>6.8849635495418511E-4</v>
      </c>
      <c r="BX76" s="754"/>
    </row>
    <row r="77" spans="1:76">
      <c r="B77">
        <v>199</v>
      </c>
      <c r="C77">
        <v>0</v>
      </c>
      <c r="D77">
        <v>0</v>
      </c>
      <c r="E77">
        <v>83</v>
      </c>
      <c r="F77">
        <v>0</v>
      </c>
      <c r="G77">
        <v>0</v>
      </c>
      <c r="H77">
        <v>0</v>
      </c>
      <c r="I77">
        <v>0</v>
      </c>
      <c r="J77">
        <v>0</v>
      </c>
      <c r="K77">
        <v>0</v>
      </c>
      <c r="L77">
        <v>0</v>
      </c>
      <c r="M77">
        <v>0</v>
      </c>
      <c r="N77">
        <v>0</v>
      </c>
      <c r="O77">
        <v>0</v>
      </c>
      <c r="P77">
        <v>83</v>
      </c>
      <c r="R77" s="754">
        <f t="shared" si="14"/>
        <v>0</v>
      </c>
      <c r="S77" s="754">
        <f t="shared" si="15"/>
        <v>0</v>
      </c>
      <c r="T77" s="754">
        <f t="shared" si="16"/>
        <v>2.4161550531117456E-4</v>
      </c>
      <c r="U77" s="754">
        <f t="shared" si="17"/>
        <v>0</v>
      </c>
      <c r="V77" s="754">
        <f t="shared" si="18"/>
        <v>0</v>
      </c>
      <c r="W77" s="754">
        <f t="shared" si="19"/>
        <v>0</v>
      </c>
      <c r="X77" s="754">
        <f t="shared" si="20"/>
        <v>0</v>
      </c>
      <c r="Y77" s="754">
        <f t="shared" si="21"/>
        <v>0</v>
      </c>
      <c r="Z77" s="754">
        <f t="shared" si="22"/>
        <v>0</v>
      </c>
      <c r="AA77" s="754">
        <f t="shared" si="23"/>
        <v>0</v>
      </c>
      <c r="AB77" s="754">
        <f t="shared" si="24"/>
        <v>0</v>
      </c>
      <c r="AC77" s="754">
        <f t="shared" si="25"/>
        <v>0</v>
      </c>
      <c r="AD77" s="754">
        <f t="shared" si="26"/>
        <v>0</v>
      </c>
      <c r="AE77" s="754">
        <f t="shared" si="27"/>
        <v>6.1248871876953224E-5</v>
      </c>
      <c r="BX77" s="754"/>
    </row>
    <row r="78" spans="1:76">
      <c r="B78">
        <v>200</v>
      </c>
      <c r="C78">
        <v>0</v>
      </c>
      <c r="D78">
        <v>0</v>
      </c>
      <c r="E78">
        <v>281</v>
      </c>
      <c r="F78">
        <v>0</v>
      </c>
      <c r="G78">
        <v>0</v>
      </c>
      <c r="H78">
        <v>0</v>
      </c>
      <c r="I78">
        <v>0</v>
      </c>
      <c r="J78">
        <v>0</v>
      </c>
      <c r="K78">
        <v>0</v>
      </c>
      <c r="L78">
        <v>0</v>
      </c>
      <c r="M78">
        <v>0</v>
      </c>
      <c r="N78">
        <v>0</v>
      </c>
      <c r="O78">
        <v>0</v>
      </c>
      <c r="P78">
        <v>281</v>
      </c>
      <c r="R78" s="754">
        <f t="shared" si="14"/>
        <v>0</v>
      </c>
      <c r="S78" s="754">
        <f t="shared" si="15"/>
        <v>0</v>
      </c>
      <c r="T78" s="754">
        <f t="shared" si="16"/>
        <v>8.1799948183662716E-4</v>
      </c>
      <c r="U78" s="754">
        <f t="shared" si="17"/>
        <v>0</v>
      </c>
      <c r="V78" s="754">
        <f t="shared" si="18"/>
        <v>0</v>
      </c>
      <c r="W78" s="754">
        <f t="shared" si="19"/>
        <v>0</v>
      </c>
      <c r="X78" s="754">
        <f t="shared" si="20"/>
        <v>0</v>
      </c>
      <c r="Y78" s="754">
        <f t="shared" si="21"/>
        <v>0</v>
      </c>
      <c r="Z78" s="754">
        <f t="shared" si="22"/>
        <v>0</v>
      </c>
      <c r="AA78" s="754">
        <f t="shared" si="23"/>
        <v>0</v>
      </c>
      <c r="AB78" s="754">
        <f t="shared" si="24"/>
        <v>0</v>
      </c>
      <c r="AC78" s="754">
        <f t="shared" si="25"/>
        <v>0</v>
      </c>
      <c r="AD78" s="754">
        <f t="shared" si="26"/>
        <v>0</v>
      </c>
      <c r="AE78" s="754">
        <f t="shared" si="27"/>
        <v>2.0736063852317901E-4</v>
      </c>
      <c r="BX78" s="754"/>
    </row>
    <row r="79" spans="1:76">
      <c r="B79" t="s">
        <v>1432</v>
      </c>
      <c r="C79">
        <v>1807</v>
      </c>
      <c r="D79">
        <v>40127</v>
      </c>
      <c r="E79">
        <v>72570</v>
      </c>
      <c r="F79">
        <v>71126</v>
      </c>
      <c r="G79">
        <v>35907</v>
      </c>
      <c r="H79">
        <v>11689</v>
      </c>
      <c r="I79">
        <v>2803</v>
      </c>
      <c r="J79">
        <v>412</v>
      </c>
      <c r="K79">
        <v>0</v>
      </c>
      <c r="L79">
        <v>202</v>
      </c>
      <c r="M79">
        <v>0</v>
      </c>
      <c r="N79">
        <v>0</v>
      </c>
      <c r="O79">
        <v>0</v>
      </c>
      <c r="P79">
        <v>236643</v>
      </c>
      <c r="R79" s="754">
        <f t="shared" si="14"/>
        <v>0.24000531279054324</v>
      </c>
      <c r="S79" s="754">
        <f t="shared" si="15"/>
        <v>0.35063482493162418</v>
      </c>
      <c r="T79" s="754">
        <f t="shared" si="16"/>
        <v>0.21125346048713178</v>
      </c>
      <c r="U79" s="754">
        <f t="shared" si="17"/>
        <v>0.15277679328972946</v>
      </c>
      <c r="V79" s="754">
        <f t="shared" si="18"/>
        <v>0.119503176700425</v>
      </c>
      <c r="W79" s="754">
        <f t="shared" si="19"/>
        <v>0.14335295560461123</v>
      </c>
      <c r="X79" s="754">
        <f t="shared" si="20"/>
        <v>9.5226770851027695E-2</v>
      </c>
      <c r="Y79" s="754">
        <f t="shared" si="21"/>
        <v>5.2956298200514139E-2</v>
      </c>
      <c r="Z79" s="754">
        <f t="shared" si="22"/>
        <v>0</v>
      </c>
      <c r="AA79" s="754">
        <f t="shared" si="23"/>
        <v>0.31172839506172839</v>
      </c>
      <c r="AB79" s="754">
        <f t="shared" si="24"/>
        <v>0</v>
      </c>
      <c r="AC79" s="754">
        <f t="shared" si="25"/>
        <v>0</v>
      </c>
      <c r="AD79" s="754">
        <f t="shared" si="26"/>
        <v>0</v>
      </c>
      <c r="AE79" s="754">
        <f t="shared" si="27"/>
        <v>0.17462791310334752</v>
      </c>
      <c r="BX79" s="754"/>
    </row>
    <row r="80" spans="1:76">
      <c r="A80" t="s">
        <v>33</v>
      </c>
      <c r="C80">
        <v>7529</v>
      </c>
      <c r="D80">
        <v>114441</v>
      </c>
      <c r="E80">
        <v>343521</v>
      </c>
      <c r="F80">
        <v>465555</v>
      </c>
      <c r="G80">
        <v>300469</v>
      </c>
      <c r="H80">
        <v>81540</v>
      </c>
      <c r="I80">
        <v>29435</v>
      </c>
      <c r="J80">
        <v>7780</v>
      </c>
      <c r="K80">
        <v>3061</v>
      </c>
      <c r="L80">
        <v>648</v>
      </c>
      <c r="M80">
        <v>1023</v>
      </c>
      <c r="N80">
        <v>73</v>
      </c>
      <c r="O80">
        <v>52</v>
      </c>
      <c r="P80">
        <v>1355127</v>
      </c>
      <c r="R80" s="246">
        <f t="shared" ref="R80:AE80" si="28">+SUM(R21:R79)</f>
        <v>1</v>
      </c>
      <c r="S80" s="246">
        <f t="shared" si="28"/>
        <v>1.0000000000000002</v>
      </c>
      <c r="T80" s="246">
        <f t="shared" si="28"/>
        <v>1</v>
      </c>
      <c r="U80" s="246">
        <f t="shared" si="28"/>
        <v>0.99999999999999989</v>
      </c>
      <c r="V80" s="246">
        <f t="shared" si="28"/>
        <v>1.0000000000000002</v>
      </c>
      <c r="W80" s="246">
        <f t="shared" si="28"/>
        <v>1</v>
      </c>
      <c r="X80" s="246">
        <f t="shared" si="28"/>
        <v>1</v>
      </c>
      <c r="Y80" s="246">
        <f t="shared" si="28"/>
        <v>1</v>
      </c>
      <c r="Z80" s="246">
        <f t="shared" si="28"/>
        <v>1</v>
      </c>
      <c r="AA80" s="246">
        <f t="shared" si="28"/>
        <v>1</v>
      </c>
      <c r="AB80" s="246">
        <f t="shared" si="28"/>
        <v>1</v>
      </c>
      <c r="AC80" s="246">
        <f t="shared" si="28"/>
        <v>1</v>
      </c>
      <c r="AD80" s="246">
        <f t="shared" si="28"/>
        <v>1</v>
      </c>
      <c r="AE80" s="246">
        <f t="shared" si="28"/>
        <v>0.99999999999999956</v>
      </c>
      <c r="BX80" s="754"/>
    </row>
    <row r="81" spans="3:76">
      <c r="C81">
        <f t="shared" ref="C81:P81" si="29">+SUM(C21:C79)</f>
        <v>7529</v>
      </c>
      <c r="D81">
        <f t="shared" si="29"/>
        <v>114441</v>
      </c>
      <c r="E81">
        <f t="shared" si="29"/>
        <v>343521</v>
      </c>
      <c r="F81">
        <f t="shared" si="29"/>
        <v>465555</v>
      </c>
      <c r="G81">
        <f t="shared" si="29"/>
        <v>300469</v>
      </c>
      <c r="H81">
        <f t="shared" si="29"/>
        <v>81540</v>
      </c>
      <c r="I81">
        <f t="shared" si="29"/>
        <v>29435</v>
      </c>
      <c r="J81">
        <f t="shared" si="29"/>
        <v>7780</v>
      </c>
      <c r="K81">
        <f t="shared" si="29"/>
        <v>3061</v>
      </c>
      <c r="L81">
        <f t="shared" si="29"/>
        <v>648</v>
      </c>
      <c r="M81">
        <f t="shared" si="29"/>
        <v>1023</v>
      </c>
      <c r="N81">
        <f t="shared" si="29"/>
        <v>73</v>
      </c>
      <c r="O81">
        <f t="shared" si="29"/>
        <v>52</v>
      </c>
      <c r="P81">
        <f t="shared" si="29"/>
        <v>1355127</v>
      </c>
      <c r="BX81" s="754"/>
    </row>
    <row r="82" spans="3:76">
      <c r="BX82" s="754"/>
    </row>
    <row r="83" spans="3:76">
      <c r="BX83" s="754"/>
    </row>
    <row r="84" spans="3:76">
      <c r="BX84" s="754"/>
    </row>
    <row r="85" spans="3:76">
      <c r="BX85" s="754"/>
    </row>
    <row r="86" spans="3:76">
      <c r="BX86" s="754"/>
    </row>
    <row r="87" spans="3:76">
      <c r="BX87" s="754"/>
    </row>
    <row r="88" spans="3:76">
      <c r="BX88" s="754"/>
    </row>
    <row r="89" spans="3:76">
      <c r="BX89" s="754"/>
    </row>
    <row r="90" spans="3:76">
      <c r="BX90" s="754"/>
    </row>
    <row r="91" spans="3:76">
      <c r="BX91" s="754"/>
    </row>
    <row r="92" spans="3:76">
      <c r="BX92" s="754"/>
    </row>
    <row r="93" spans="3:76">
      <c r="BX93" s="754"/>
    </row>
    <row r="94" spans="3:76">
      <c r="BX94" s="754"/>
    </row>
    <row r="95" spans="3:76">
      <c r="BX95" s="754"/>
    </row>
    <row r="96" spans="3:76">
      <c r="BX96" s="754"/>
    </row>
    <row r="97" spans="76:76">
      <c r="BX97" s="754"/>
    </row>
    <row r="98" spans="76:76">
      <c r="BX98" s="754"/>
    </row>
    <row r="99" spans="76:76">
      <c r="BX99" s="754"/>
    </row>
    <row r="100" spans="76:76">
      <c r="BX100" s="246"/>
    </row>
  </sheetData>
  <mergeCells count="2">
    <mergeCell ref="A21:A34"/>
    <mergeCell ref="A4:E4"/>
  </mergeCells>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DB646"/>
  </sheetPr>
  <dimension ref="A1:N88"/>
  <sheetViews>
    <sheetView workbookViewId="0"/>
  </sheetViews>
  <sheetFormatPr defaultColWidth="8.85546875" defaultRowHeight="15"/>
  <cols>
    <col min="1" max="1" width="17.42578125" customWidth="1"/>
    <col min="2" max="2" width="14.85546875" customWidth="1"/>
    <col min="3" max="3" width="17.28515625" customWidth="1"/>
    <col min="4" max="4" width="13.140625" customWidth="1"/>
    <col min="7" max="7" width="19" customWidth="1"/>
    <col min="8" max="8" width="17.85546875" customWidth="1"/>
  </cols>
  <sheetData>
    <row r="1" spans="1:6" ht="25.5" thickBot="1">
      <c r="A1" s="1262" t="s">
        <v>1454</v>
      </c>
      <c r="B1" s="1262"/>
      <c r="C1" s="1262"/>
      <c r="D1" s="1288"/>
      <c r="E1" s="1267"/>
      <c r="F1" s="335"/>
    </row>
    <row r="2" spans="1:6" ht="45.75" thickBot="1">
      <c r="A2" s="1105"/>
      <c r="B2" s="1104" t="s">
        <v>1453</v>
      </c>
      <c r="C2" s="1104" t="s">
        <v>1452</v>
      </c>
      <c r="D2" s="1103" t="s">
        <v>1451</v>
      </c>
    </row>
    <row r="3" spans="1:6">
      <c r="A3" s="1102" t="s">
        <v>1450</v>
      </c>
      <c r="B3" s="1101">
        <f>24320730/1000</f>
        <v>24320.73</v>
      </c>
      <c r="C3" s="1100">
        <v>17.940000000000001</v>
      </c>
      <c r="D3" s="1099">
        <f>+C3*B3</f>
        <v>436313.89620000002</v>
      </c>
    </row>
    <row r="4" spans="1:6">
      <c r="A4" s="1098" t="s">
        <v>1449</v>
      </c>
      <c r="B4" s="1097">
        <f>193238632/1000</f>
        <v>193238.63200000001</v>
      </c>
      <c r="C4" s="1096">
        <v>2.79</v>
      </c>
      <c r="D4" s="1095">
        <f>+C4*B4</f>
        <v>539135.78328000009</v>
      </c>
    </row>
    <row r="5" spans="1:6" ht="15.75" thickBot="1">
      <c r="A5" s="1094" t="s">
        <v>1448</v>
      </c>
      <c r="B5" s="1093">
        <f>SUM(B3:B4)</f>
        <v>217559.36200000002</v>
      </c>
      <c r="C5" s="1092"/>
      <c r="D5" s="1091">
        <f>SUM(D3:D4)</f>
        <v>975449.67948000017</v>
      </c>
    </row>
    <row r="6" spans="1:6">
      <c r="A6" s="1090"/>
      <c r="B6" s="1089"/>
      <c r="C6" s="951"/>
      <c r="D6" s="1089"/>
    </row>
    <row r="7" spans="1:6">
      <c r="A7" s="1090"/>
      <c r="B7" s="1089"/>
      <c r="C7" s="951"/>
      <c r="D7" s="1089"/>
    </row>
    <row r="23" spans="1:7">
      <c r="A23" s="1638" t="s">
        <v>1447</v>
      </c>
      <c r="B23" s="1638"/>
      <c r="C23" s="1638"/>
      <c r="D23" s="1638"/>
      <c r="E23" s="1638"/>
      <c r="F23" s="1638"/>
      <c r="G23" s="1638"/>
    </row>
    <row r="24" spans="1:7">
      <c r="A24" s="1638"/>
      <c r="B24" s="1638"/>
      <c r="C24" s="1638"/>
      <c r="D24" s="1638"/>
      <c r="E24" s="1638"/>
      <c r="F24" s="1638"/>
      <c r="G24" s="1638"/>
    </row>
    <row r="25" spans="1:7">
      <c r="A25" s="1638"/>
      <c r="B25" s="1638"/>
      <c r="C25" s="1638"/>
      <c r="D25" s="1638"/>
      <c r="E25" s="1638"/>
      <c r="F25" s="1638"/>
      <c r="G25" s="1638"/>
    </row>
    <row r="29" spans="1:7">
      <c r="A29" t="s">
        <v>1446</v>
      </c>
    </row>
    <row r="43" spans="1:14">
      <c r="A43" t="s">
        <v>1445</v>
      </c>
    </row>
    <row r="45" spans="1:14">
      <c r="N45" s="29"/>
    </row>
    <row r="46" spans="1:14">
      <c r="A46" s="335"/>
      <c r="N46" s="29"/>
    </row>
    <row r="47" spans="1:14">
      <c r="N47" s="29"/>
    </row>
    <row r="48" spans="1:14">
      <c r="N48" s="29"/>
    </row>
    <row r="49" spans="14:14">
      <c r="N49" s="29"/>
    </row>
    <row r="50" spans="14:14">
      <c r="N50" s="29"/>
    </row>
    <row r="88" spans="8:8">
      <c r="H88" s="483"/>
    </row>
  </sheetData>
  <mergeCells count="1">
    <mergeCell ref="A23:G25"/>
  </mergeCells>
  <pageMargins left="0.7" right="0.7" top="0.75" bottom="0.75" header="0.3" footer="0.3"/>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H79"/>
  <sheetViews>
    <sheetView workbookViewId="0"/>
  </sheetViews>
  <sheetFormatPr defaultColWidth="8.85546875" defaultRowHeight="15"/>
  <cols>
    <col min="1" max="1" width="12.140625" customWidth="1"/>
    <col min="2" max="2" width="23.7109375" customWidth="1"/>
    <col min="3" max="3" width="14.28515625" bestFit="1" customWidth="1"/>
    <col min="4" max="4" width="12.42578125" bestFit="1" customWidth="1"/>
    <col min="5" max="5" width="13.28515625" bestFit="1" customWidth="1"/>
    <col min="6" max="6" width="12.42578125" bestFit="1" customWidth="1"/>
    <col min="8" max="8" width="14.28515625" bestFit="1" customWidth="1"/>
  </cols>
  <sheetData>
    <row r="1" spans="1:6" ht="24.75">
      <c r="A1" s="1272" t="s">
        <v>1510</v>
      </c>
      <c r="B1" s="1267"/>
      <c r="C1" s="1267"/>
      <c r="D1" s="1267"/>
      <c r="E1" s="1267"/>
      <c r="F1" s="1267"/>
    </row>
    <row r="2" spans="1:6">
      <c r="A2" t="s">
        <v>1511</v>
      </c>
    </row>
    <row r="4" spans="1:6" ht="30">
      <c r="A4" s="1" t="s">
        <v>991</v>
      </c>
      <c r="B4" s="1" t="s">
        <v>992</v>
      </c>
      <c r="C4" s="1" t="s">
        <v>993</v>
      </c>
      <c r="D4" s="410" t="s">
        <v>994</v>
      </c>
      <c r="E4" s="1" t="s">
        <v>995</v>
      </c>
    </row>
    <row r="5" spans="1:6">
      <c r="A5" s="411" t="s">
        <v>996</v>
      </c>
      <c r="B5" s="392" t="s">
        <v>997</v>
      </c>
      <c r="C5" s="412">
        <f>21947068</f>
        <v>21947068</v>
      </c>
      <c r="E5" s="413">
        <v>5273118</v>
      </c>
    </row>
    <row r="6" spans="1:6">
      <c r="A6" s="411" t="s">
        <v>996</v>
      </c>
      <c r="B6" t="s">
        <v>998</v>
      </c>
      <c r="C6" s="413">
        <v>16595758</v>
      </c>
      <c r="E6" s="413">
        <v>2067287</v>
      </c>
    </row>
    <row r="7" spans="1:6">
      <c r="A7" s="411" t="s">
        <v>996</v>
      </c>
      <c r="B7" t="s">
        <v>999</v>
      </c>
      <c r="C7" s="413">
        <v>0</v>
      </c>
      <c r="E7" s="413">
        <v>2417235</v>
      </c>
    </row>
    <row r="8" spans="1:6">
      <c r="A8" s="411" t="s">
        <v>996</v>
      </c>
      <c r="B8" t="s">
        <v>1000</v>
      </c>
      <c r="C8" s="413">
        <v>0</v>
      </c>
      <c r="E8" s="413">
        <v>7631360</v>
      </c>
    </row>
    <row r="9" spans="1:6">
      <c r="A9" s="411" t="s">
        <v>996</v>
      </c>
      <c r="B9" t="s">
        <v>1001</v>
      </c>
      <c r="C9" s="413">
        <v>0</v>
      </c>
      <c r="E9" s="413">
        <v>0</v>
      </c>
    </row>
    <row r="10" spans="1:6">
      <c r="A10" s="411" t="s">
        <v>996</v>
      </c>
      <c r="B10" t="s">
        <v>1002</v>
      </c>
      <c r="C10" s="413">
        <v>0</v>
      </c>
      <c r="E10" s="413">
        <v>4513930</v>
      </c>
    </row>
    <row r="11" spans="1:6">
      <c r="A11" s="411" t="s">
        <v>996</v>
      </c>
      <c r="B11" t="s">
        <v>1003</v>
      </c>
      <c r="C11" s="413">
        <v>0</v>
      </c>
      <c r="E11" s="413">
        <v>3586798</v>
      </c>
      <c r="F11" s="414">
        <f>SUM(E5:E11)</f>
        <v>25489728</v>
      </c>
    </row>
    <row r="12" spans="1:6">
      <c r="C12" s="415"/>
      <c r="D12" s="416">
        <f>SUM(C5:C11)</f>
        <v>38542826</v>
      </c>
      <c r="E12" s="413"/>
      <c r="F12" s="417">
        <f>D12+F11</f>
        <v>64032554</v>
      </c>
    </row>
    <row r="13" spans="1:6">
      <c r="C13" s="413"/>
      <c r="E13" s="413"/>
    </row>
    <row r="14" spans="1:6">
      <c r="A14" s="123" t="s">
        <v>1004</v>
      </c>
      <c r="B14" t="s">
        <v>997</v>
      </c>
      <c r="C14" s="413">
        <v>6744449</v>
      </c>
      <c r="E14" s="413">
        <v>1002617</v>
      </c>
    </row>
    <row r="15" spans="1:6">
      <c r="A15" s="123" t="s">
        <v>1004</v>
      </c>
      <c r="B15" t="s">
        <v>998</v>
      </c>
      <c r="C15" s="413">
        <v>17026586</v>
      </c>
      <c r="E15" s="413">
        <v>0</v>
      </c>
    </row>
    <row r="16" spans="1:6">
      <c r="A16" s="123" t="s">
        <v>1004</v>
      </c>
      <c r="B16" t="s">
        <v>1005</v>
      </c>
      <c r="C16" s="413">
        <v>0</v>
      </c>
      <c r="E16" s="413">
        <v>2489836</v>
      </c>
    </row>
    <row r="17" spans="1:6">
      <c r="A17" s="123" t="s">
        <v>1004</v>
      </c>
      <c r="B17" t="s">
        <v>1006</v>
      </c>
      <c r="C17" s="413">
        <v>0</v>
      </c>
      <c r="E17" s="413">
        <v>0</v>
      </c>
    </row>
    <row r="18" spans="1:6">
      <c r="A18" s="123" t="s">
        <v>1004</v>
      </c>
      <c r="B18" t="s">
        <v>1007</v>
      </c>
      <c r="C18" s="413">
        <v>0</v>
      </c>
      <c r="E18" s="413">
        <v>1126470</v>
      </c>
    </row>
    <row r="19" spans="1:6">
      <c r="A19" s="123"/>
      <c r="B19" t="s">
        <v>1008</v>
      </c>
      <c r="C19" s="413">
        <v>0</v>
      </c>
      <c r="E19" s="413">
        <v>4123782</v>
      </c>
      <c r="F19" s="418">
        <f>SUM(E14:E19)</f>
        <v>8742705</v>
      </c>
    </row>
    <row r="20" spans="1:6">
      <c r="C20" s="415"/>
      <c r="D20" s="419">
        <f>SUM(C14:C18)</f>
        <v>23771035</v>
      </c>
      <c r="E20" s="413"/>
      <c r="F20" s="420">
        <f>D20+F19</f>
        <v>32513740</v>
      </c>
    </row>
    <row r="21" spans="1:6">
      <c r="C21" s="415"/>
      <c r="E21" s="413"/>
      <c r="F21" s="421"/>
    </row>
    <row r="22" spans="1:6">
      <c r="A22" s="123" t="s">
        <v>1009</v>
      </c>
      <c r="B22" t="s">
        <v>997</v>
      </c>
      <c r="C22" s="413">
        <v>17463316</v>
      </c>
      <c r="E22" s="413">
        <v>5925509</v>
      </c>
    </row>
    <row r="23" spans="1:6">
      <c r="A23" s="123" t="s">
        <v>1010</v>
      </c>
      <c r="B23" t="s">
        <v>998</v>
      </c>
      <c r="C23" s="413">
        <v>257093698</v>
      </c>
      <c r="E23" s="413">
        <v>850236</v>
      </c>
    </row>
    <row r="24" spans="1:6">
      <c r="A24" s="123"/>
      <c r="B24" t="s">
        <v>1011</v>
      </c>
      <c r="C24" s="413">
        <v>0</v>
      </c>
      <c r="E24" s="413">
        <v>632370</v>
      </c>
    </row>
    <row r="25" spans="1:6">
      <c r="A25" s="123"/>
      <c r="B25" t="s">
        <v>1008</v>
      </c>
      <c r="C25" s="413">
        <v>0</v>
      </c>
      <c r="E25" s="413">
        <v>2337064</v>
      </c>
    </row>
    <row r="26" spans="1:6">
      <c r="A26" s="123"/>
      <c r="B26" t="s">
        <v>1012</v>
      </c>
      <c r="C26" s="413">
        <v>0</v>
      </c>
      <c r="E26" s="413">
        <v>1373770</v>
      </c>
    </row>
    <row r="27" spans="1:6">
      <c r="A27" s="123"/>
      <c r="B27" t="s">
        <v>1013</v>
      </c>
      <c r="C27" s="413">
        <v>0</v>
      </c>
      <c r="E27" s="413">
        <v>837667</v>
      </c>
      <c r="F27" s="414">
        <f>SUM(E22:E27)</f>
        <v>11956616</v>
      </c>
    </row>
    <row r="28" spans="1:6">
      <c r="C28" s="415"/>
      <c r="D28" s="419">
        <f>SUM(C22:C23)</f>
        <v>274557014</v>
      </c>
      <c r="E28" s="413"/>
      <c r="F28" s="417">
        <f>F27+D28</f>
        <v>286513630</v>
      </c>
    </row>
    <row r="29" spans="1:6">
      <c r="C29" s="415"/>
      <c r="E29" s="413"/>
      <c r="F29" s="421"/>
    </row>
    <row r="30" spans="1:6">
      <c r="A30" s="123" t="s">
        <v>1014</v>
      </c>
      <c r="B30" t="s">
        <v>997</v>
      </c>
      <c r="C30" s="413">
        <v>15259797</v>
      </c>
      <c r="E30" s="413">
        <v>3307616</v>
      </c>
    </row>
    <row r="31" spans="1:6">
      <c r="A31" s="123" t="s">
        <v>1014</v>
      </c>
      <c r="B31" t="s">
        <v>998</v>
      </c>
      <c r="C31" s="413">
        <v>303830444</v>
      </c>
      <c r="E31" s="413">
        <v>1460060</v>
      </c>
    </row>
    <row r="32" spans="1:6">
      <c r="A32" s="123" t="s">
        <v>1014</v>
      </c>
      <c r="B32" t="s">
        <v>1011</v>
      </c>
      <c r="C32" s="413"/>
      <c r="E32" s="413">
        <v>275575</v>
      </c>
    </row>
    <row r="33" spans="1:6">
      <c r="A33" s="123" t="s">
        <v>1014</v>
      </c>
      <c r="B33" t="s">
        <v>1000</v>
      </c>
      <c r="C33" s="413"/>
      <c r="E33" s="413">
        <v>2431270</v>
      </c>
    </row>
    <row r="34" spans="1:6">
      <c r="A34" s="123" t="s">
        <v>1014</v>
      </c>
      <c r="B34" t="s">
        <v>1015</v>
      </c>
      <c r="C34" s="413"/>
      <c r="E34" s="413">
        <v>1126470</v>
      </c>
    </row>
    <row r="35" spans="1:6">
      <c r="A35" s="123" t="s">
        <v>1014</v>
      </c>
      <c r="B35" t="s">
        <v>1013</v>
      </c>
      <c r="C35" s="413"/>
      <c r="E35" s="413">
        <v>567179</v>
      </c>
      <c r="F35" s="418">
        <f>SUM(E30:E35)</f>
        <v>9168170</v>
      </c>
    </row>
    <row r="36" spans="1:6">
      <c r="A36" s="123"/>
      <c r="C36" s="413"/>
      <c r="E36" s="413"/>
    </row>
    <row r="37" spans="1:6">
      <c r="C37" s="415"/>
      <c r="D37" s="422">
        <f>SUM(C30:C31)</f>
        <v>319090241</v>
      </c>
      <c r="E37" s="413"/>
      <c r="F37" s="420">
        <f>F35+D37</f>
        <v>328258411</v>
      </c>
    </row>
    <row r="38" spans="1:6">
      <c r="A38" t="s">
        <v>1016</v>
      </c>
      <c r="C38" s="415"/>
      <c r="E38" s="413"/>
    </row>
    <row r="39" spans="1:6">
      <c r="A39" s="123" t="s">
        <v>1017</v>
      </c>
      <c r="B39" t="s">
        <v>997</v>
      </c>
      <c r="C39" s="413">
        <v>13074056</v>
      </c>
      <c r="E39" s="413">
        <v>1042368</v>
      </c>
    </row>
    <row r="40" spans="1:6">
      <c r="A40" s="123" t="s">
        <v>1017</v>
      </c>
      <c r="B40" t="s">
        <v>998</v>
      </c>
      <c r="C40" s="413">
        <v>118077731</v>
      </c>
      <c r="E40" s="413">
        <v>1463113</v>
      </c>
    </row>
    <row r="41" spans="1:6">
      <c r="A41" s="123" t="s">
        <v>1017</v>
      </c>
      <c r="B41" t="s">
        <v>1011</v>
      </c>
      <c r="C41" s="413"/>
      <c r="E41" s="413">
        <v>435118</v>
      </c>
    </row>
    <row r="42" spans="1:6">
      <c r="A42" s="123" t="s">
        <v>1017</v>
      </c>
      <c r="B42" t="s">
        <v>1008</v>
      </c>
      <c r="C42" s="413"/>
      <c r="E42" s="413">
        <v>3075631</v>
      </c>
    </row>
    <row r="43" spans="1:6">
      <c r="A43" s="123" t="s">
        <v>1017</v>
      </c>
      <c r="B43" t="s">
        <v>1015</v>
      </c>
      <c r="C43" s="413"/>
      <c r="E43" s="413">
        <v>830743</v>
      </c>
    </row>
    <row r="44" spans="1:6">
      <c r="A44" s="123" t="s">
        <v>1017</v>
      </c>
      <c r="B44" t="s">
        <v>1013</v>
      </c>
      <c r="C44" s="413"/>
      <c r="E44" s="413">
        <v>667179</v>
      </c>
      <c r="F44" s="414">
        <f>SUM(E39:E44)</f>
        <v>7514152</v>
      </c>
    </row>
    <row r="45" spans="1:6">
      <c r="A45" s="123"/>
      <c r="C45" s="413"/>
      <c r="E45" s="413"/>
    </row>
    <row r="46" spans="1:6">
      <c r="C46" s="423"/>
      <c r="D46" s="422">
        <f>SUM(C39:C40)</f>
        <v>131151787</v>
      </c>
      <c r="E46" s="413"/>
      <c r="F46" s="420">
        <f>D46+F44</f>
        <v>138665939</v>
      </c>
    </row>
    <row r="47" spans="1:6">
      <c r="E47" s="413"/>
    </row>
    <row r="48" spans="1:6">
      <c r="A48" s="123" t="s">
        <v>1018</v>
      </c>
      <c r="B48" t="s">
        <v>997</v>
      </c>
      <c r="C48" s="413">
        <v>14684312</v>
      </c>
      <c r="E48" s="413">
        <v>7931516</v>
      </c>
    </row>
    <row r="49" spans="1:8">
      <c r="A49" s="123" t="s">
        <v>1018</v>
      </c>
      <c r="B49" t="s">
        <v>998</v>
      </c>
      <c r="C49" s="413">
        <v>7384019</v>
      </c>
      <c r="E49" s="413">
        <v>0</v>
      </c>
    </row>
    <row r="50" spans="1:8">
      <c r="A50" s="123"/>
      <c r="B50" t="s">
        <v>1011</v>
      </c>
      <c r="C50" s="413"/>
      <c r="E50" s="413">
        <v>224328</v>
      </c>
    </row>
    <row r="51" spans="1:8">
      <c r="A51" s="123"/>
      <c r="B51" t="s">
        <v>1000</v>
      </c>
      <c r="C51" s="413"/>
      <c r="E51" s="413">
        <v>6750873</v>
      </c>
      <c r="F51" s="414">
        <f>SUM(E48:E51)</f>
        <v>14906717</v>
      </c>
    </row>
    <row r="52" spans="1:8">
      <c r="C52" s="415"/>
      <c r="D52" s="422">
        <f>SUM(C48:C49)</f>
        <v>22068331</v>
      </c>
      <c r="E52" s="413"/>
      <c r="F52" s="420">
        <f>D52+F51</f>
        <v>36975048</v>
      </c>
    </row>
    <row r="53" spans="1:8">
      <c r="C53" s="413"/>
      <c r="E53" s="413"/>
    </row>
    <row r="54" spans="1:8">
      <c r="A54" s="123" t="s">
        <v>1019</v>
      </c>
      <c r="B54" t="s">
        <v>997</v>
      </c>
      <c r="C54" s="413">
        <v>128923874</v>
      </c>
      <c r="E54" s="413">
        <v>5926929</v>
      </c>
    </row>
    <row r="55" spans="1:8">
      <c r="A55" s="123" t="s">
        <v>1019</v>
      </c>
      <c r="B55" t="s">
        <v>998</v>
      </c>
      <c r="C55" s="413">
        <v>18922711</v>
      </c>
      <c r="E55" s="413">
        <v>4119731</v>
      </c>
    </row>
    <row r="56" spans="1:8">
      <c r="A56" s="123" t="s">
        <v>1019</v>
      </c>
      <c r="B56" t="s">
        <v>1011</v>
      </c>
      <c r="C56" s="413"/>
      <c r="E56" s="413">
        <v>1363366</v>
      </c>
    </row>
    <row r="57" spans="1:8">
      <c r="A57" s="123" t="s">
        <v>1019</v>
      </c>
      <c r="B57" t="s">
        <v>1000</v>
      </c>
      <c r="C57" s="413"/>
      <c r="E57" s="413">
        <v>9775613</v>
      </c>
    </row>
    <row r="58" spans="1:8">
      <c r="A58" s="123" t="s">
        <v>1019</v>
      </c>
      <c r="B58" t="s">
        <v>1015</v>
      </c>
      <c r="C58" s="413"/>
      <c r="E58" s="413">
        <v>2087449</v>
      </c>
    </row>
    <row r="59" spans="1:8">
      <c r="A59" s="123" t="s">
        <v>1019</v>
      </c>
      <c r="B59" t="s">
        <v>1013</v>
      </c>
      <c r="C59" s="413"/>
      <c r="E59" s="413">
        <v>554050</v>
      </c>
      <c r="F59" s="414">
        <f>SUM(E54:E59)</f>
        <v>23827138</v>
      </c>
    </row>
    <row r="60" spans="1:8">
      <c r="C60" s="415"/>
      <c r="D60" s="424">
        <f>SUM(C54:C55)</f>
        <v>147846585</v>
      </c>
      <c r="E60" s="413"/>
      <c r="F60" s="420">
        <f>D60+F59</f>
        <v>171673723</v>
      </c>
    </row>
    <row r="61" spans="1:8">
      <c r="C61" s="413"/>
      <c r="E61" s="413"/>
    </row>
    <row r="62" spans="1:8">
      <c r="B62" t="s">
        <v>1021</v>
      </c>
      <c r="C62" s="413">
        <f>+C54+C48+C39+C30+C22+C14+C5</f>
        <v>218096872</v>
      </c>
      <c r="D62" s="425">
        <f>D12+D20+D28+D37+D46+D52+D60</f>
        <v>957027819</v>
      </c>
      <c r="E62" s="426"/>
      <c r="F62" s="425">
        <f>F11+F19+F27+F35+F44+F51+F59</f>
        <v>101605226</v>
      </c>
      <c r="G62" s="133"/>
      <c r="H62" s="425">
        <f>D62+F62</f>
        <v>1058633045</v>
      </c>
    </row>
    <row r="63" spans="1:8">
      <c r="B63" t="s">
        <v>1022</v>
      </c>
      <c r="C63" s="413">
        <f>+C55+C49+C40+C31+C23+C15+C6</f>
        <v>738930947</v>
      </c>
      <c r="E63" s="413"/>
      <c r="F63" t="s">
        <v>1020</v>
      </c>
      <c r="H63" t="s">
        <v>1048</v>
      </c>
    </row>
    <row r="64" spans="1:8">
      <c r="B64" t="s">
        <v>1024</v>
      </c>
      <c r="C64" s="413">
        <f>+C63+C62</f>
        <v>957027819</v>
      </c>
      <c r="E64" s="413"/>
    </row>
    <row r="65" spans="3:5">
      <c r="C65" s="413"/>
      <c r="E65" s="413"/>
    </row>
    <row r="66" spans="3:5">
      <c r="C66" s="413"/>
      <c r="E66" s="413"/>
    </row>
    <row r="67" spans="3:5">
      <c r="C67" s="413"/>
      <c r="E67" s="413"/>
    </row>
    <row r="68" spans="3:5">
      <c r="C68" s="413"/>
      <c r="E68" s="413"/>
    </row>
    <row r="69" spans="3:5">
      <c r="C69" s="413"/>
      <c r="E69" s="413"/>
    </row>
    <row r="70" spans="3:5">
      <c r="C70" s="413"/>
      <c r="E70" s="413"/>
    </row>
    <row r="71" spans="3:5">
      <c r="C71" s="413"/>
      <c r="E71" s="413"/>
    </row>
    <row r="72" spans="3:5">
      <c r="C72" s="413"/>
      <c r="E72" s="413"/>
    </row>
    <row r="73" spans="3:5">
      <c r="C73" s="413"/>
      <c r="E73" s="413"/>
    </row>
    <row r="74" spans="3:5">
      <c r="C74" s="413"/>
      <c r="E74" s="413"/>
    </row>
    <row r="75" spans="3:5">
      <c r="C75" s="413"/>
      <c r="E75" s="413"/>
    </row>
    <row r="76" spans="3:5">
      <c r="C76" s="413"/>
    </row>
    <row r="77" spans="3:5">
      <c r="C77" s="413"/>
    </row>
    <row r="78" spans="3:5">
      <c r="C78" s="413"/>
    </row>
    <row r="79" spans="3:5">
      <c r="C79" s="413"/>
    </row>
  </sheetData>
  <pageMargins left="0.75" right="0.75" top="1" bottom="1" header="0.5" footer="0.5"/>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G79"/>
  <sheetViews>
    <sheetView workbookViewId="0"/>
  </sheetViews>
  <sheetFormatPr defaultColWidth="11.42578125" defaultRowHeight="15"/>
  <cols>
    <col min="1" max="1" width="32" customWidth="1"/>
    <col min="3" max="3" width="9.42578125" customWidth="1"/>
    <col min="4" max="4" width="12.140625" customWidth="1"/>
    <col min="5" max="5" width="11.28515625" customWidth="1"/>
    <col min="6" max="6" width="15.42578125" customWidth="1"/>
    <col min="7" max="7" width="12" bestFit="1" customWidth="1"/>
  </cols>
  <sheetData>
    <row r="1" spans="1:7" ht="25.5" thickBot="1">
      <c r="A1" s="1272" t="s">
        <v>1656</v>
      </c>
      <c r="B1" s="1267"/>
    </row>
    <row r="2" spans="1:7" ht="35.1" customHeight="1" thickBot="1">
      <c r="A2" s="262" t="s">
        <v>1750</v>
      </c>
      <c r="B2" s="335"/>
      <c r="E2" s="1743" t="s">
        <v>1659</v>
      </c>
      <c r="F2" s="1744"/>
    </row>
    <row r="3" spans="1:7" ht="60">
      <c r="A3" s="1309" t="s">
        <v>1657</v>
      </c>
      <c r="B3" s="1314"/>
      <c r="C3" s="1315" t="s">
        <v>841</v>
      </c>
      <c r="D3" s="1316" t="s">
        <v>1658</v>
      </c>
      <c r="E3" s="1302" t="s">
        <v>841</v>
      </c>
      <c r="F3" s="1301" t="s">
        <v>1658</v>
      </c>
    </row>
    <row r="4" spans="1:7">
      <c r="A4" s="262" t="s">
        <v>917</v>
      </c>
      <c r="B4" s="249"/>
      <c r="C4" s="291">
        <v>69</v>
      </c>
      <c r="D4" s="292">
        <v>38034108</v>
      </c>
      <c r="E4" s="1303">
        <f>+C4</f>
        <v>69</v>
      </c>
      <c r="F4" s="292">
        <f>+D4</f>
        <v>38034108</v>
      </c>
    </row>
    <row r="5" spans="1:7">
      <c r="A5" s="262" t="s">
        <v>1512</v>
      </c>
      <c r="B5" s="249"/>
      <c r="C5" s="291">
        <v>89</v>
      </c>
      <c r="D5" s="292">
        <v>22601144</v>
      </c>
      <c r="E5" s="1303">
        <f>+C5</f>
        <v>89</v>
      </c>
      <c r="F5" s="292">
        <f>+D5</f>
        <v>22601144</v>
      </c>
    </row>
    <row r="6" spans="1:7">
      <c r="A6" s="262" t="s">
        <v>685</v>
      </c>
      <c r="B6" s="249"/>
      <c r="C6" s="291">
        <v>1281</v>
      </c>
      <c r="D6" s="292">
        <v>234213576</v>
      </c>
      <c r="E6" s="1303">
        <f>+C6-C20-C57</f>
        <v>9</v>
      </c>
      <c r="F6" s="292">
        <f>+D6-D20-D57</f>
        <v>8201736</v>
      </c>
    </row>
    <row r="7" spans="1:7">
      <c r="A7" s="262" t="s">
        <v>1513</v>
      </c>
      <c r="B7" s="249"/>
      <c r="C7" s="291">
        <v>604</v>
      </c>
      <c r="D7" s="292">
        <v>122634348</v>
      </c>
      <c r="E7" s="1303">
        <f>+C7-C25-C62</f>
        <v>88</v>
      </c>
      <c r="F7" s="292">
        <f>+D7-D25-D62</f>
        <v>35792928</v>
      </c>
    </row>
    <row r="8" spans="1:7">
      <c r="A8" s="262" t="s">
        <v>670</v>
      </c>
      <c r="B8" s="249"/>
      <c r="C8" s="291">
        <v>1870</v>
      </c>
      <c r="D8" s="292">
        <v>325840972</v>
      </c>
      <c r="E8" s="1303">
        <f>+C8-C34-C69</f>
        <v>475</v>
      </c>
      <c r="F8" s="292">
        <f>+D8-D34-D69</f>
        <v>93173488</v>
      </c>
    </row>
    <row r="9" spans="1:7">
      <c r="A9" s="262" t="s">
        <v>680</v>
      </c>
      <c r="B9" s="249"/>
      <c r="C9" s="291">
        <v>1222</v>
      </c>
      <c r="D9" s="292">
        <v>263649300</v>
      </c>
      <c r="E9" s="1303">
        <f>+C9-C38-C77-C40</f>
        <v>80</v>
      </c>
      <c r="F9" s="292">
        <f>+D9-D38-D77-D40</f>
        <v>24908856</v>
      </c>
    </row>
    <row r="10" spans="1:7">
      <c r="A10" s="262" t="s">
        <v>936</v>
      </c>
      <c r="B10" s="249"/>
      <c r="C10" s="291">
        <v>72</v>
      </c>
      <c r="D10" s="292">
        <v>27727668</v>
      </c>
      <c r="E10" s="1303">
        <f>+C10</f>
        <v>72</v>
      </c>
      <c r="F10" s="292">
        <f>+D10</f>
        <v>27727668</v>
      </c>
    </row>
    <row r="11" spans="1:7" ht="15.75" thickBot="1">
      <c r="A11" s="1305" t="s">
        <v>33</v>
      </c>
      <c r="B11" s="1313"/>
      <c r="C11" s="1307">
        <f>+SUM(C4:C10)</f>
        <v>5207</v>
      </c>
      <c r="D11" s="1308">
        <f>+SUM(D4:D10)</f>
        <v>1034701116</v>
      </c>
      <c r="E11" s="1304">
        <f>+SUM(E4:E10)</f>
        <v>882</v>
      </c>
      <c r="F11" s="1050">
        <f>+SUM(F4:F10)</f>
        <v>250439928</v>
      </c>
      <c r="G11" s="101"/>
    </row>
    <row r="12" spans="1:7">
      <c r="E12" s="101"/>
    </row>
    <row r="13" spans="1:7" ht="15.75" thickBot="1"/>
    <row r="14" spans="1:7">
      <c r="A14" s="543" t="s">
        <v>882</v>
      </c>
      <c r="B14" s="255"/>
      <c r="C14" s="255"/>
      <c r="D14" s="300"/>
    </row>
    <row r="15" spans="1:7">
      <c r="A15" s="262" t="s">
        <v>685</v>
      </c>
      <c r="B15" s="249" t="s">
        <v>1514</v>
      </c>
      <c r="C15" s="249">
        <v>2</v>
      </c>
      <c r="D15" s="292">
        <v>1911744</v>
      </c>
    </row>
    <row r="16" spans="1:7">
      <c r="A16" s="262" t="s">
        <v>1074</v>
      </c>
      <c r="B16" s="249" t="s">
        <v>1515</v>
      </c>
      <c r="C16" s="249">
        <v>393</v>
      </c>
      <c r="D16" s="292">
        <v>62271228</v>
      </c>
    </row>
    <row r="17" spans="1:4">
      <c r="A17" s="262" t="s">
        <v>1516</v>
      </c>
      <c r="B17" s="249" t="s">
        <v>1515</v>
      </c>
      <c r="C17" s="249">
        <v>156</v>
      </c>
      <c r="D17" s="292">
        <v>26511732</v>
      </c>
    </row>
    <row r="18" spans="1:4">
      <c r="A18" s="262" t="s">
        <v>1517</v>
      </c>
      <c r="B18" s="249" t="s">
        <v>1515</v>
      </c>
      <c r="C18" s="249">
        <v>55</v>
      </c>
      <c r="D18" s="292">
        <v>8911980</v>
      </c>
    </row>
    <row r="19" spans="1:4">
      <c r="A19" s="262" t="s">
        <v>1075</v>
      </c>
      <c r="B19" s="249" t="s">
        <v>1515</v>
      </c>
      <c r="C19" s="249">
        <v>104</v>
      </c>
      <c r="D19" s="292">
        <v>16505292</v>
      </c>
    </row>
    <row r="20" spans="1:4">
      <c r="A20" s="262" t="s">
        <v>1518</v>
      </c>
      <c r="B20" s="249"/>
      <c r="C20" s="291">
        <f>+SUM(C15:C19)</f>
        <v>710</v>
      </c>
      <c r="D20" s="292">
        <f>+SUM(D15:D19)</f>
        <v>116111976</v>
      </c>
    </row>
    <row r="21" spans="1:4">
      <c r="A21" s="262"/>
      <c r="B21" s="249"/>
      <c r="C21" s="249"/>
      <c r="D21" s="292"/>
    </row>
    <row r="22" spans="1:4">
      <c r="A22" s="262" t="s">
        <v>1513</v>
      </c>
      <c r="B22" s="249" t="s">
        <v>1514</v>
      </c>
      <c r="C22" s="249"/>
      <c r="D22" s="292"/>
    </row>
    <row r="23" spans="1:4">
      <c r="A23" s="262" t="s">
        <v>128</v>
      </c>
      <c r="B23" s="249" t="s">
        <v>1515</v>
      </c>
      <c r="C23" s="249">
        <v>312</v>
      </c>
      <c r="D23" s="292">
        <v>50280720</v>
      </c>
    </row>
    <row r="24" spans="1:4">
      <c r="A24" s="262" t="s">
        <v>1070</v>
      </c>
      <c r="B24" s="249" t="s">
        <v>1515</v>
      </c>
      <c r="C24" s="249">
        <v>157</v>
      </c>
      <c r="D24" s="292">
        <v>24499908</v>
      </c>
    </row>
    <row r="25" spans="1:4">
      <c r="A25" s="296" t="s">
        <v>1519</v>
      </c>
      <c r="B25" s="297"/>
      <c r="C25" s="1199">
        <f>+C24+C23</f>
        <v>469</v>
      </c>
      <c r="D25" s="1300">
        <f>+D24+D23</f>
        <v>74780628</v>
      </c>
    </row>
    <row r="26" spans="1:4">
      <c r="A26" s="262"/>
      <c r="B26" s="249"/>
      <c r="C26" s="249"/>
      <c r="D26" s="292"/>
    </row>
    <row r="27" spans="1:4">
      <c r="A27" s="262" t="s">
        <v>670</v>
      </c>
      <c r="B27" s="249" t="s">
        <v>1514</v>
      </c>
      <c r="C27" s="249">
        <v>2</v>
      </c>
      <c r="D27" s="292">
        <v>2127420</v>
      </c>
    </row>
    <row r="28" spans="1:4">
      <c r="A28" s="262" t="s">
        <v>1065</v>
      </c>
      <c r="B28" s="249" t="s">
        <v>1515</v>
      </c>
      <c r="C28" s="249">
        <v>198</v>
      </c>
      <c r="D28" s="292">
        <v>32294664</v>
      </c>
    </row>
    <row r="29" spans="1:4">
      <c r="A29" s="262" t="s">
        <v>1520</v>
      </c>
      <c r="B29" s="249" t="s">
        <v>1521</v>
      </c>
      <c r="C29" s="249">
        <v>278</v>
      </c>
      <c r="D29" s="292">
        <v>43727124</v>
      </c>
    </row>
    <row r="30" spans="1:4">
      <c r="A30" s="262" t="s">
        <v>1522</v>
      </c>
      <c r="B30" s="249" t="s">
        <v>1521</v>
      </c>
      <c r="C30" s="249">
        <v>285</v>
      </c>
      <c r="D30" s="292">
        <v>43914192</v>
      </c>
    </row>
    <row r="31" spans="1:4">
      <c r="A31" s="262" t="s">
        <v>1523</v>
      </c>
      <c r="B31" s="249" t="s">
        <v>1524</v>
      </c>
      <c r="C31" s="249">
        <v>97</v>
      </c>
      <c r="D31" s="292">
        <v>16018524</v>
      </c>
    </row>
    <row r="32" spans="1:4">
      <c r="A32" s="262" t="s">
        <v>1525</v>
      </c>
      <c r="B32" s="249" t="s">
        <v>1526</v>
      </c>
      <c r="C32" s="249">
        <v>144</v>
      </c>
      <c r="D32" s="292">
        <v>22668336</v>
      </c>
    </row>
    <row r="33" spans="1:4">
      <c r="A33" s="262" t="s">
        <v>1527</v>
      </c>
      <c r="B33" s="249" t="s">
        <v>1528</v>
      </c>
      <c r="C33" s="249">
        <v>86</v>
      </c>
      <c r="D33" s="292">
        <v>13671060</v>
      </c>
    </row>
    <row r="34" spans="1:4">
      <c r="A34" s="296" t="s">
        <v>1529</v>
      </c>
      <c r="B34" s="297"/>
      <c r="C34" s="1199">
        <f>+SUM(C27:C33)</f>
        <v>1090</v>
      </c>
      <c r="D34" s="1300">
        <f>+SUM(D27:D33)</f>
        <v>174421320</v>
      </c>
    </row>
    <row r="35" spans="1:4">
      <c r="A35" s="262"/>
      <c r="B35" s="249"/>
      <c r="C35" s="249"/>
      <c r="D35" s="292"/>
    </row>
    <row r="36" spans="1:4">
      <c r="A36" s="262" t="s">
        <v>680</v>
      </c>
      <c r="B36" s="249" t="s">
        <v>1514</v>
      </c>
      <c r="C36" s="291">
        <v>2</v>
      </c>
      <c r="D36" s="292">
        <v>2179692</v>
      </c>
    </row>
    <row r="37" spans="1:4">
      <c r="A37" s="262" t="s">
        <v>1530</v>
      </c>
      <c r="B37" s="249" t="s">
        <v>1515</v>
      </c>
      <c r="C37" s="249">
        <v>121</v>
      </c>
      <c r="D37" s="292">
        <v>21569364</v>
      </c>
    </row>
    <row r="38" spans="1:4">
      <c r="A38" s="296" t="s">
        <v>1531</v>
      </c>
      <c r="B38" s="297"/>
      <c r="C38" s="1199">
        <f>+C37+C36</f>
        <v>123</v>
      </c>
      <c r="D38" s="1300">
        <f>+D37+D36</f>
        <v>23749056</v>
      </c>
    </row>
    <row r="39" spans="1:4">
      <c r="A39" s="262"/>
      <c r="B39" s="249"/>
      <c r="C39" s="291"/>
      <c r="D39" s="292"/>
    </row>
    <row r="40" spans="1:4">
      <c r="A40" s="296" t="s">
        <v>911</v>
      </c>
      <c r="B40" s="297">
        <v>16</v>
      </c>
      <c r="C40" s="1199">
        <v>552</v>
      </c>
      <c r="D40" s="1300">
        <v>131121816</v>
      </c>
    </row>
    <row r="41" spans="1:4">
      <c r="A41" s="262"/>
      <c r="B41" s="249"/>
      <c r="C41" s="291"/>
      <c r="D41" s="292"/>
    </row>
    <row r="42" spans="1:4" ht="15.75" thickBot="1">
      <c r="A42" s="1305" t="s">
        <v>1532</v>
      </c>
      <c r="B42" s="1306"/>
      <c r="C42" s="1307">
        <f>+C40+C38+C34+C25+C20</f>
        <v>2944</v>
      </c>
      <c r="D42" s="1308">
        <f>+D40+D38+D34+D25+D20</f>
        <v>520184796</v>
      </c>
    </row>
    <row r="44" spans="1:4" ht="15.75" thickBot="1"/>
    <row r="45" spans="1:4">
      <c r="A45" s="1309" t="s">
        <v>1533</v>
      </c>
      <c r="B45" s="1310"/>
      <c r="C45" s="1311"/>
      <c r="D45" s="1312"/>
    </row>
    <row r="46" spans="1:4">
      <c r="A46" s="262" t="s">
        <v>685</v>
      </c>
      <c r="B46" s="249"/>
      <c r="C46" s="291"/>
      <c r="D46" s="292"/>
    </row>
    <row r="47" spans="1:4">
      <c r="A47" s="262" t="s">
        <v>1074</v>
      </c>
      <c r="B47" s="249" t="s">
        <v>1515</v>
      </c>
      <c r="C47" s="291">
        <v>80</v>
      </c>
      <c r="D47" s="292">
        <v>15793896</v>
      </c>
    </row>
    <row r="48" spans="1:4">
      <c r="A48" s="262" t="s">
        <v>1516</v>
      </c>
      <c r="B48" s="249" t="s">
        <v>1515</v>
      </c>
      <c r="C48" s="291">
        <v>198</v>
      </c>
      <c r="D48" s="292">
        <v>36118152</v>
      </c>
    </row>
    <row r="49" spans="1:4">
      <c r="A49" s="262" t="s">
        <v>1071</v>
      </c>
      <c r="B49" s="249" t="s">
        <v>1515</v>
      </c>
      <c r="C49" s="291">
        <v>48</v>
      </c>
      <c r="D49" s="292">
        <v>8791212</v>
      </c>
    </row>
    <row r="50" spans="1:4">
      <c r="A50" s="262" t="s">
        <v>123</v>
      </c>
      <c r="B50" s="249" t="s">
        <v>1515</v>
      </c>
      <c r="C50" s="291">
        <v>36</v>
      </c>
      <c r="D50" s="292">
        <v>8217852</v>
      </c>
    </row>
    <row r="51" spans="1:4">
      <c r="A51" s="262" t="s">
        <v>1077</v>
      </c>
      <c r="B51" s="249" t="s">
        <v>1515</v>
      </c>
      <c r="C51" s="291">
        <v>40</v>
      </c>
      <c r="D51" s="292">
        <v>7931160</v>
      </c>
    </row>
    <row r="52" spans="1:4">
      <c r="A52" s="262" t="s">
        <v>1076</v>
      </c>
      <c r="B52" s="249" t="s">
        <v>1515</v>
      </c>
      <c r="C52" s="291">
        <v>36</v>
      </c>
      <c r="D52" s="292">
        <v>7148328</v>
      </c>
    </row>
    <row r="53" spans="1:4">
      <c r="A53" s="262" t="s">
        <v>1073</v>
      </c>
      <c r="B53" s="249" t="s">
        <v>1515</v>
      </c>
      <c r="C53" s="291">
        <v>41</v>
      </c>
      <c r="D53" s="292">
        <v>8953548</v>
      </c>
    </row>
    <row r="54" spans="1:4">
      <c r="A54" s="262" t="s">
        <v>1075</v>
      </c>
      <c r="B54" s="249" t="s">
        <v>1515</v>
      </c>
      <c r="C54" s="291">
        <v>18</v>
      </c>
      <c r="D54" s="292">
        <v>3741708</v>
      </c>
    </row>
    <row r="55" spans="1:4">
      <c r="A55" s="262" t="s">
        <v>1079</v>
      </c>
      <c r="B55" s="249" t="s">
        <v>1515</v>
      </c>
      <c r="C55" s="291">
        <v>24</v>
      </c>
      <c r="D55" s="292">
        <v>4901664</v>
      </c>
    </row>
    <row r="56" spans="1:4">
      <c r="A56" s="262" t="s">
        <v>128</v>
      </c>
      <c r="B56" s="249" t="s">
        <v>1515</v>
      </c>
      <c r="C56" s="291">
        <v>41</v>
      </c>
      <c r="D56" s="292">
        <v>8302344</v>
      </c>
    </row>
    <row r="57" spans="1:4">
      <c r="A57" s="296" t="s">
        <v>1534</v>
      </c>
      <c r="B57" s="297"/>
      <c r="C57" s="1199">
        <f>+SUM(C47:C56)</f>
        <v>562</v>
      </c>
      <c r="D57" s="1300">
        <f>+SUM(D47:D56)</f>
        <v>109899864</v>
      </c>
    </row>
    <row r="58" spans="1:4">
      <c r="A58" s="262"/>
      <c r="B58" s="249"/>
      <c r="C58" s="291"/>
      <c r="D58" s="292"/>
    </row>
    <row r="59" spans="1:4">
      <c r="A59" s="262" t="s">
        <v>1535</v>
      </c>
      <c r="B59" s="249"/>
      <c r="C59" s="291"/>
      <c r="D59" s="292"/>
    </row>
    <row r="60" spans="1:4">
      <c r="A60" s="262" t="s">
        <v>1070</v>
      </c>
      <c r="B60" s="249" t="s">
        <v>1515</v>
      </c>
      <c r="C60" s="291">
        <v>33</v>
      </c>
      <c r="D60" s="292">
        <v>6874176</v>
      </c>
    </row>
    <row r="61" spans="1:4">
      <c r="A61" s="262" t="s">
        <v>1078</v>
      </c>
      <c r="B61" s="249" t="s">
        <v>1515</v>
      </c>
      <c r="C61" s="291">
        <v>14</v>
      </c>
      <c r="D61" s="292">
        <v>5186616</v>
      </c>
    </row>
    <row r="62" spans="1:4">
      <c r="A62" s="296" t="s">
        <v>1536</v>
      </c>
      <c r="B62" s="297"/>
      <c r="C62" s="1199">
        <f>+C61+C60</f>
        <v>47</v>
      </c>
      <c r="D62" s="1300">
        <f>+D61+D60</f>
        <v>12060792</v>
      </c>
    </row>
    <row r="63" spans="1:4">
      <c r="A63" s="262"/>
      <c r="B63" s="249"/>
      <c r="C63" s="291"/>
      <c r="D63" s="292"/>
    </row>
    <row r="64" spans="1:4">
      <c r="A64" s="262" t="s">
        <v>670</v>
      </c>
      <c r="B64" s="249"/>
      <c r="C64" s="291"/>
      <c r="D64" s="292"/>
    </row>
    <row r="65" spans="1:4">
      <c r="A65" s="262" t="s">
        <v>1065</v>
      </c>
      <c r="B65" s="249" t="s">
        <v>1515</v>
      </c>
      <c r="C65" s="291">
        <v>125</v>
      </c>
      <c r="D65" s="292">
        <v>23395608</v>
      </c>
    </row>
    <row r="66" spans="1:4">
      <c r="A66" s="262" t="s">
        <v>1061</v>
      </c>
      <c r="B66" s="249" t="s">
        <v>1515</v>
      </c>
      <c r="C66" s="291">
        <v>78</v>
      </c>
      <c r="D66" s="292">
        <v>14735520</v>
      </c>
    </row>
    <row r="67" spans="1:4">
      <c r="A67" s="262" t="s">
        <v>121</v>
      </c>
      <c r="B67" s="249" t="s">
        <v>1515</v>
      </c>
      <c r="C67" s="291">
        <v>69</v>
      </c>
      <c r="D67" s="292">
        <v>13152948</v>
      </c>
    </row>
    <row r="68" spans="1:4">
      <c r="A68" s="262" t="s">
        <v>118</v>
      </c>
      <c r="B68" s="249" t="s">
        <v>1515</v>
      </c>
      <c r="C68" s="291">
        <v>33</v>
      </c>
      <c r="D68" s="292">
        <v>6962088</v>
      </c>
    </row>
    <row r="69" spans="1:4">
      <c r="A69" s="296" t="s">
        <v>1537</v>
      </c>
      <c r="B69" s="297"/>
      <c r="C69" s="1199">
        <f>+SUM(C65:C68)</f>
        <v>305</v>
      </c>
      <c r="D69" s="1300">
        <f>+SUM(D65:D68)</f>
        <v>58246164</v>
      </c>
    </row>
    <row r="70" spans="1:4">
      <c r="A70" s="262"/>
      <c r="B70" s="249"/>
      <c r="C70" s="249"/>
      <c r="D70" s="258"/>
    </row>
    <row r="71" spans="1:4">
      <c r="A71" s="262" t="s">
        <v>680</v>
      </c>
      <c r="B71" s="249"/>
      <c r="C71" s="249"/>
      <c r="D71" s="258"/>
    </row>
    <row r="72" spans="1:4">
      <c r="A72" s="262" t="s">
        <v>1055</v>
      </c>
      <c r="B72" s="249" t="s">
        <v>1515</v>
      </c>
      <c r="C72" s="291">
        <v>101</v>
      </c>
      <c r="D72" s="292">
        <v>17987652</v>
      </c>
    </row>
    <row r="73" spans="1:4">
      <c r="A73" s="262" t="s">
        <v>1056</v>
      </c>
      <c r="B73" s="249" t="s">
        <v>1515</v>
      </c>
      <c r="C73" s="291">
        <v>95</v>
      </c>
      <c r="D73" s="292">
        <v>16804020</v>
      </c>
    </row>
    <row r="74" spans="1:4">
      <c r="A74" s="262" t="s">
        <v>1058</v>
      </c>
      <c r="B74" s="249" t="s">
        <v>1515</v>
      </c>
      <c r="C74" s="291">
        <v>73</v>
      </c>
      <c r="D74" s="292">
        <v>12859620</v>
      </c>
    </row>
    <row r="75" spans="1:4">
      <c r="A75" s="262" t="s">
        <v>1059</v>
      </c>
      <c r="B75" s="249" t="s">
        <v>1515</v>
      </c>
      <c r="C75" s="291">
        <v>142</v>
      </c>
      <c r="D75" s="292">
        <v>25540788</v>
      </c>
    </row>
    <row r="76" spans="1:4">
      <c r="A76" s="262" t="s">
        <v>1530</v>
      </c>
      <c r="B76" s="249" t="s">
        <v>1515</v>
      </c>
      <c r="C76" s="291">
        <v>56</v>
      </c>
      <c r="D76" s="292">
        <v>10677492</v>
      </c>
    </row>
    <row r="77" spans="1:4">
      <c r="A77" s="296" t="s">
        <v>1538</v>
      </c>
      <c r="B77" s="297"/>
      <c r="C77" s="1199">
        <f>+SUM(C72:C76)</f>
        <v>467</v>
      </c>
      <c r="D77" s="1300">
        <f>+SUM(D72:D76)</f>
        <v>83869572</v>
      </c>
    </row>
    <row r="78" spans="1:4">
      <c r="A78" s="262"/>
      <c r="B78" s="249"/>
      <c r="C78" s="291"/>
      <c r="D78" s="292"/>
    </row>
    <row r="79" spans="1:4" ht="15.75" thickBot="1">
      <c r="A79" s="1305" t="s">
        <v>1539</v>
      </c>
      <c r="B79" s="1306"/>
      <c r="C79" s="1307">
        <f>+C77+C69+C62+C57</f>
        <v>1381</v>
      </c>
      <c r="D79" s="1308">
        <f>+D77+D69+D62+D57</f>
        <v>264076392</v>
      </c>
    </row>
  </sheetData>
  <mergeCells count="1">
    <mergeCell ref="E2:F2"/>
  </mergeCells>
  <pageMargins left="0.75" right="0.75" top="1" bottom="1" header="0.5" footer="0.5"/>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S136"/>
  <sheetViews>
    <sheetView workbookViewId="0"/>
  </sheetViews>
  <sheetFormatPr defaultColWidth="8.85546875" defaultRowHeight="12.75"/>
  <cols>
    <col min="1" max="1" width="13.85546875" style="594" customWidth="1"/>
    <col min="2" max="2" width="14.140625" style="594" customWidth="1"/>
    <col min="3" max="3" width="12.85546875" style="594" bestFit="1" customWidth="1"/>
    <col min="4" max="4" width="11.85546875" style="594" customWidth="1"/>
    <col min="5" max="5" width="11" style="594" bestFit="1" customWidth="1"/>
    <col min="6" max="6" width="15.28515625" style="594" customWidth="1"/>
    <col min="7" max="7" width="16" style="594" bestFit="1" customWidth="1"/>
    <col min="8" max="8" width="13.85546875" style="594" customWidth="1"/>
    <col min="9" max="16384" width="8.85546875" style="594"/>
  </cols>
  <sheetData>
    <row r="1" spans="1:6" ht="24.75">
      <c r="A1" s="1262" t="s">
        <v>1222</v>
      </c>
      <c r="B1" s="1317"/>
      <c r="C1" s="1317"/>
      <c r="D1" s="1317"/>
    </row>
    <row r="2" spans="1:6">
      <c r="A2" s="593" t="s">
        <v>1253</v>
      </c>
    </row>
    <row r="3" spans="1:6">
      <c r="A3" s="593"/>
    </row>
    <row r="4" spans="1:6" ht="15">
      <c r="F4" s="130"/>
    </row>
    <row r="5" spans="1:6" ht="15">
      <c r="A5" s="266"/>
      <c r="B5" s="130"/>
      <c r="C5" s="130"/>
      <c r="D5" s="130"/>
      <c r="E5" s="130"/>
      <c r="F5" s="130"/>
    </row>
    <row r="6" spans="1:6" ht="13.5" thickBot="1">
      <c r="A6" s="683" t="s">
        <v>1251</v>
      </c>
      <c r="B6" s="683" t="s">
        <v>1252</v>
      </c>
    </row>
    <row r="7" spans="1:6" ht="27" thickTop="1" thickBot="1">
      <c r="A7" s="684" t="s">
        <v>104</v>
      </c>
      <c r="B7" s="685"/>
      <c r="C7" s="686" t="s">
        <v>573</v>
      </c>
      <c r="D7" s="686" t="s">
        <v>574</v>
      </c>
      <c r="E7" s="686" t="s">
        <v>575</v>
      </c>
      <c r="F7" s="687" t="s">
        <v>576</v>
      </c>
    </row>
    <row r="8" spans="1:6" ht="13.5" thickTop="1">
      <c r="A8" s="688" t="s">
        <v>577</v>
      </c>
      <c r="B8" s="689" t="s">
        <v>536</v>
      </c>
      <c r="C8" s="690">
        <v>92464</v>
      </c>
      <c r="D8" s="691">
        <v>3</v>
      </c>
      <c r="E8" s="691">
        <v>13.2</v>
      </c>
      <c r="F8" s="692">
        <v>13.2</v>
      </c>
    </row>
    <row r="9" spans="1:6">
      <c r="A9" s="693"/>
      <c r="B9" s="689" t="s">
        <v>537</v>
      </c>
      <c r="C9" s="694">
        <v>610241</v>
      </c>
      <c r="D9" s="691">
        <v>19.899999999999999</v>
      </c>
      <c r="E9" s="691">
        <v>86.8</v>
      </c>
      <c r="F9" s="692">
        <v>100</v>
      </c>
    </row>
    <row r="10" spans="1:6">
      <c r="A10" s="693"/>
      <c r="B10" s="689" t="s">
        <v>33</v>
      </c>
      <c r="C10" s="694">
        <v>702705</v>
      </c>
      <c r="D10" s="691">
        <v>22.9</v>
      </c>
      <c r="E10" s="691">
        <v>100</v>
      </c>
      <c r="F10" s="692" t="s">
        <v>104</v>
      </c>
    </row>
    <row r="11" spans="1:6">
      <c r="A11" s="693" t="s">
        <v>590</v>
      </c>
      <c r="B11" s="689" t="s">
        <v>591</v>
      </c>
      <c r="C11" s="694">
        <v>2369820</v>
      </c>
      <c r="D11" s="691">
        <v>77.099999999999994</v>
      </c>
      <c r="E11" s="691" t="s">
        <v>104</v>
      </c>
      <c r="F11" s="692" t="s">
        <v>104</v>
      </c>
    </row>
    <row r="12" spans="1:6" ht="13.5" thickBot="1">
      <c r="A12" s="1745" t="s">
        <v>33</v>
      </c>
      <c r="B12" s="1746"/>
      <c r="C12" s="695">
        <v>3072525</v>
      </c>
      <c r="D12" s="696">
        <v>100</v>
      </c>
      <c r="E12" s="696" t="s">
        <v>104</v>
      </c>
      <c r="F12" s="697" t="s">
        <v>104</v>
      </c>
    </row>
    <row r="13" spans="1:6" ht="13.5" thickTop="1"/>
    <row r="16" spans="1:6" ht="13.5" thickBot="1"/>
    <row r="17" spans="1:7">
      <c r="A17" s="656" t="s">
        <v>1211</v>
      </c>
      <c r="B17" s="670"/>
      <c r="C17" s="670"/>
      <c r="D17" s="671"/>
    </row>
    <row r="18" spans="1:7" ht="51">
      <c r="A18" s="661" t="s">
        <v>1219</v>
      </c>
      <c r="B18" s="637" t="s">
        <v>596</v>
      </c>
      <c r="C18" s="638" t="s">
        <v>593</v>
      </c>
      <c r="D18" s="662" t="s">
        <v>1220</v>
      </c>
      <c r="E18" s="597"/>
      <c r="F18" s="597"/>
      <c r="G18" s="597"/>
    </row>
    <row r="19" spans="1:7">
      <c r="A19" s="663">
        <v>11</v>
      </c>
      <c r="B19" s="672">
        <v>8</v>
      </c>
      <c r="C19" s="598">
        <v>456.6868896484375</v>
      </c>
      <c r="D19" s="664">
        <v>0</v>
      </c>
      <c r="E19" s="597"/>
      <c r="F19" s="597"/>
      <c r="G19" s="597"/>
    </row>
    <row r="20" spans="1:7">
      <c r="A20" s="663">
        <v>12</v>
      </c>
      <c r="B20" s="672">
        <v>7.2593116664443</v>
      </c>
      <c r="C20" s="598">
        <v>2502.7323989868164</v>
      </c>
      <c r="D20" s="664">
        <v>4.322694509836448</v>
      </c>
      <c r="E20" s="597"/>
      <c r="F20" s="597"/>
      <c r="G20" s="597"/>
    </row>
    <row r="21" spans="1:7">
      <c r="A21" s="663">
        <v>29</v>
      </c>
      <c r="B21" s="672">
        <v>12</v>
      </c>
      <c r="C21" s="598">
        <v>965.25770568847656</v>
      </c>
      <c r="D21" s="664">
        <v>7.0487244514701617E-16</v>
      </c>
      <c r="E21" s="597"/>
      <c r="F21" s="597"/>
      <c r="G21" s="597"/>
    </row>
    <row r="22" spans="1:7">
      <c r="A22" s="663">
        <v>31</v>
      </c>
      <c r="B22" s="672">
        <v>9.5650063721226992</v>
      </c>
      <c r="C22" s="598">
        <v>59.690301895141602</v>
      </c>
      <c r="D22" s="664">
        <v>1.1828898449250249</v>
      </c>
      <c r="E22" s="597"/>
      <c r="F22" s="597"/>
      <c r="G22" s="597"/>
    </row>
    <row r="23" spans="1:7">
      <c r="A23" s="663">
        <v>32</v>
      </c>
      <c r="B23" s="672">
        <v>11.153378358127201</v>
      </c>
      <c r="C23" s="598">
        <v>3428.3185119628906</v>
      </c>
      <c r="D23" s="664">
        <v>1.8147391393290311</v>
      </c>
      <c r="E23" s="597"/>
      <c r="F23" s="597"/>
      <c r="G23" s="597"/>
    </row>
    <row r="24" spans="1:7">
      <c r="A24" s="663">
        <v>33</v>
      </c>
      <c r="B24" s="672">
        <v>10.288053165178951</v>
      </c>
      <c r="C24" s="598">
        <v>25671.995727539063</v>
      </c>
      <c r="D24" s="664">
        <v>2.649854454591579</v>
      </c>
      <c r="E24" s="597"/>
      <c r="F24" s="597"/>
      <c r="G24" s="597"/>
    </row>
    <row r="25" spans="1:7" ht="15" customHeight="1">
      <c r="A25" s="663">
        <v>36</v>
      </c>
      <c r="B25" s="672">
        <v>5.0818873764111858</v>
      </c>
      <c r="C25" s="598">
        <v>445.01730346679687</v>
      </c>
      <c r="D25" s="664">
        <v>1.3840924406668234</v>
      </c>
      <c r="E25" s="1747" t="s">
        <v>1232</v>
      </c>
      <c r="F25" s="1748"/>
      <c r="G25" s="597"/>
    </row>
    <row r="26" spans="1:7">
      <c r="A26" s="663">
        <v>38</v>
      </c>
      <c r="B26" s="672">
        <v>12</v>
      </c>
      <c r="C26" s="598">
        <v>159.74349975585937</v>
      </c>
      <c r="D26" s="664">
        <v>0</v>
      </c>
      <c r="E26" s="1747"/>
      <c r="F26" s="1748"/>
      <c r="G26" s="597"/>
    </row>
    <row r="27" spans="1:7">
      <c r="A27" s="663">
        <v>62</v>
      </c>
      <c r="B27" s="672">
        <v>9.5231787009986686</v>
      </c>
      <c r="C27" s="598">
        <v>54010.165008544922</v>
      </c>
      <c r="D27" s="664">
        <v>3.6127414270795937</v>
      </c>
      <c r="E27" s="1747"/>
      <c r="F27" s="1748"/>
      <c r="G27" s="597"/>
    </row>
    <row r="28" spans="1:7">
      <c r="A28" s="663">
        <v>63</v>
      </c>
      <c r="B28" s="672">
        <v>7</v>
      </c>
      <c r="C28" s="598">
        <v>52.475101470947266</v>
      </c>
      <c r="D28" s="664">
        <v>0</v>
      </c>
      <c r="E28" s="1747"/>
      <c r="F28" s="1748"/>
      <c r="G28" s="597"/>
    </row>
    <row r="29" spans="1:7">
      <c r="A29" s="663">
        <v>93</v>
      </c>
      <c r="B29" s="672">
        <v>11.213449267514637</v>
      </c>
      <c r="C29" s="598">
        <v>4648.2257308959961</v>
      </c>
      <c r="D29" s="664">
        <v>2.2526861133709413</v>
      </c>
      <c r="E29" s="1747"/>
      <c r="F29" s="1748"/>
      <c r="G29" s="597"/>
    </row>
    <row r="30" spans="1:7" ht="13.5" thickBot="1">
      <c r="A30" s="665" t="s">
        <v>1221</v>
      </c>
      <c r="B30" s="673">
        <v>9.8197151120406954</v>
      </c>
      <c r="C30" s="667">
        <v>92400.308179855347</v>
      </c>
      <c r="D30" s="669">
        <v>3.3337424639039526</v>
      </c>
      <c r="E30" s="1747"/>
      <c r="F30" s="1748"/>
      <c r="G30" s="597"/>
    </row>
    <row r="31" spans="1:7">
      <c r="C31" s="597"/>
      <c r="D31" s="597"/>
      <c r="E31" s="597"/>
      <c r="F31" s="597"/>
      <c r="G31" s="597"/>
    </row>
    <row r="32" spans="1:7" ht="13.5" thickBot="1">
      <c r="A32" s="593"/>
      <c r="C32" s="597"/>
      <c r="D32" s="597"/>
      <c r="E32" s="597"/>
      <c r="F32" s="597"/>
      <c r="G32" s="597"/>
    </row>
    <row r="33" spans="1:7">
      <c r="A33" s="656" t="s">
        <v>1212</v>
      </c>
      <c r="B33" s="657"/>
      <c r="C33" s="658"/>
      <c r="D33" s="660"/>
      <c r="E33" s="597"/>
      <c r="F33" s="597"/>
      <c r="G33" s="597"/>
    </row>
    <row r="34" spans="1:7" ht="51">
      <c r="A34" s="661" t="s">
        <v>1219</v>
      </c>
      <c r="B34" s="637" t="s">
        <v>596</v>
      </c>
      <c r="C34" s="638" t="s">
        <v>593</v>
      </c>
      <c r="D34" s="662" t="s">
        <v>1220</v>
      </c>
      <c r="E34" s="597"/>
      <c r="F34" s="597"/>
      <c r="G34" s="597"/>
    </row>
    <row r="35" spans="1:7">
      <c r="A35" s="663">
        <v>11</v>
      </c>
      <c r="B35" s="674">
        <v>3</v>
      </c>
      <c r="C35" s="598">
        <v>456.6868896484375</v>
      </c>
      <c r="D35" s="664">
        <v>0</v>
      </c>
      <c r="E35" s="597"/>
      <c r="F35" s="597"/>
      <c r="G35" s="597"/>
    </row>
    <row r="36" spans="1:7">
      <c r="A36" s="663">
        <v>12</v>
      </c>
      <c r="B36" s="674">
        <v>1.146284599265547</v>
      </c>
      <c r="C36" s="598">
        <v>2502.7323989868164</v>
      </c>
      <c r="D36" s="664">
        <v>0.43327864295176971</v>
      </c>
      <c r="E36" s="597"/>
      <c r="F36" s="597"/>
      <c r="G36" s="597"/>
    </row>
    <row r="37" spans="1:7">
      <c r="A37" s="663">
        <v>29</v>
      </c>
      <c r="B37" s="674">
        <v>1</v>
      </c>
      <c r="C37" s="598">
        <v>965.25770568847656</v>
      </c>
      <c r="D37" s="664">
        <v>0</v>
      </c>
      <c r="E37" s="597"/>
      <c r="F37" s="597"/>
      <c r="G37" s="597"/>
    </row>
    <row r="38" spans="1:7">
      <c r="A38" s="663">
        <v>31</v>
      </c>
      <c r="B38" s="674">
        <v>1.8116645426257669</v>
      </c>
      <c r="C38" s="598">
        <v>59.690301895141602</v>
      </c>
      <c r="D38" s="664">
        <v>0.39429661497500834</v>
      </c>
      <c r="E38" s="597"/>
      <c r="F38" s="597"/>
      <c r="G38" s="597"/>
    </row>
    <row r="39" spans="1:7">
      <c r="A39" s="663">
        <v>32</v>
      </c>
      <c r="B39" s="674">
        <v>1.1145584645337463</v>
      </c>
      <c r="C39" s="598">
        <v>3428.3185119628906</v>
      </c>
      <c r="D39" s="664">
        <v>0.31853479984049315</v>
      </c>
      <c r="E39" s="597"/>
      <c r="F39" s="597"/>
      <c r="G39" s="597"/>
    </row>
    <row r="40" spans="1:7">
      <c r="A40" s="663">
        <v>33</v>
      </c>
      <c r="B40" s="674">
        <v>1.0950399459199229</v>
      </c>
      <c r="C40" s="598">
        <v>25671.995727539063</v>
      </c>
      <c r="D40" s="664">
        <v>0.31258105534224889</v>
      </c>
      <c r="E40" s="597"/>
      <c r="F40" s="597"/>
      <c r="G40" s="597"/>
    </row>
    <row r="41" spans="1:7">
      <c r="A41" s="663">
        <v>36</v>
      </c>
      <c r="B41" s="674">
        <v>1.6939624588037288</v>
      </c>
      <c r="C41" s="598">
        <v>445.01730346679687</v>
      </c>
      <c r="D41" s="664">
        <v>0.46136414688894106</v>
      </c>
      <c r="E41" s="597"/>
      <c r="F41" s="597"/>
      <c r="G41" s="597"/>
    </row>
    <row r="42" spans="1:7">
      <c r="A42" s="663">
        <v>38</v>
      </c>
      <c r="B42" s="674">
        <v>1</v>
      </c>
      <c r="C42" s="598">
        <v>159.74349975585937</v>
      </c>
      <c r="D42" s="664">
        <v>0</v>
      </c>
      <c r="E42" s="597"/>
      <c r="F42" s="597"/>
      <c r="G42" s="597"/>
    </row>
    <row r="43" spans="1:7">
      <c r="A43" s="663">
        <v>62</v>
      </c>
      <c r="B43" s="674">
        <v>1.1312247993595248</v>
      </c>
      <c r="C43" s="598">
        <v>54073.481708526611</v>
      </c>
      <c r="D43" s="664">
        <v>0.40055759928391066</v>
      </c>
      <c r="E43" s="597"/>
      <c r="F43" s="597"/>
      <c r="G43" s="597"/>
    </row>
    <row r="44" spans="1:7">
      <c r="A44" s="663">
        <v>63</v>
      </c>
      <c r="B44" s="674">
        <v>0.99999999999999989</v>
      </c>
      <c r="C44" s="598">
        <v>52.475101470947266</v>
      </c>
      <c r="D44" s="664">
        <v>0</v>
      </c>
      <c r="E44" s="597"/>
      <c r="F44" s="597"/>
      <c r="G44" s="597"/>
    </row>
    <row r="45" spans="1:7">
      <c r="A45" s="663">
        <v>93</v>
      </c>
      <c r="B45" s="674">
        <v>1.1574693981060977</v>
      </c>
      <c r="C45" s="598">
        <v>4648.2257308959961</v>
      </c>
      <c r="D45" s="664">
        <v>0.36428194517572504</v>
      </c>
      <c r="E45" s="597"/>
      <c r="F45" s="597"/>
      <c r="G45" s="597"/>
    </row>
    <row r="46" spans="1:7" ht="13.5" thickBot="1">
      <c r="A46" s="665" t="s">
        <v>1221</v>
      </c>
      <c r="B46" s="675">
        <v>1.1329939410366638</v>
      </c>
      <c r="C46" s="667">
        <v>92463.624879837036</v>
      </c>
      <c r="D46" s="669">
        <v>0.39659850230096338</v>
      </c>
      <c r="E46" s="597"/>
      <c r="F46" s="597"/>
      <c r="G46" s="597"/>
    </row>
    <row r="47" spans="1:7">
      <c r="B47" s="596"/>
      <c r="C47" s="597"/>
      <c r="D47" s="597"/>
      <c r="E47" s="597"/>
      <c r="F47" s="597"/>
      <c r="G47" s="597"/>
    </row>
    <row r="48" spans="1:7" ht="13.5" thickBot="1">
      <c r="A48" s="593"/>
      <c r="B48" s="596"/>
      <c r="C48" s="597"/>
      <c r="D48" s="597"/>
    </row>
    <row r="49" spans="1:7">
      <c r="A49" s="656" t="s">
        <v>1260</v>
      </c>
      <c r="B49" s="657"/>
      <c r="C49" s="658"/>
      <c r="D49" s="658"/>
      <c r="E49" s="658"/>
      <c r="F49" s="658"/>
      <c r="G49" s="660"/>
    </row>
    <row r="50" spans="1:7" ht="51">
      <c r="A50" s="661" t="s">
        <v>1219</v>
      </c>
      <c r="B50" s="637" t="s">
        <v>596</v>
      </c>
      <c r="C50" s="638" t="s">
        <v>593</v>
      </c>
      <c r="D50" s="639" t="s">
        <v>1220</v>
      </c>
      <c r="E50" s="639" t="s">
        <v>1214</v>
      </c>
      <c r="F50" s="639" t="s">
        <v>1215</v>
      </c>
      <c r="G50" s="662" t="s">
        <v>1216</v>
      </c>
    </row>
    <row r="51" spans="1:7">
      <c r="A51" s="663">
        <v>11</v>
      </c>
      <c r="B51" s="595">
        <v>80</v>
      </c>
      <c r="C51" s="598">
        <v>456.6868896484375</v>
      </c>
      <c r="D51" s="598">
        <v>0</v>
      </c>
      <c r="E51" s="598">
        <f t="shared" ref="E51:E61" si="0">+B51*B19</f>
        <v>640</v>
      </c>
      <c r="F51" s="598">
        <f>+E51/(52*40)</f>
        <v>0.30769230769230771</v>
      </c>
      <c r="G51" s="676">
        <f>+F51*C51</f>
        <v>140.51904296875</v>
      </c>
    </row>
    <row r="52" spans="1:7">
      <c r="A52" s="663">
        <v>12</v>
      </c>
      <c r="B52" s="595">
        <v>47.702155238100801</v>
      </c>
      <c r="C52" s="598">
        <v>2502.7323989868164</v>
      </c>
      <c r="D52" s="598">
        <v>51.492335115567819</v>
      </c>
      <c r="E52" s="598">
        <f t="shared" si="0"/>
        <v>346.28481203448223</v>
      </c>
      <c r="F52" s="598">
        <f t="shared" ref="F52:F61" si="1">+E52/(52*40)</f>
        <v>0.16648308270888568</v>
      </c>
      <c r="G52" s="676">
        <f t="shared" ref="G52:G61" si="2">+F52*C52</f>
        <v>416.66260497873003</v>
      </c>
    </row>
    <row r="53" spans="1:7">
      <c r="A53" s="663">
        <v>29</v>
      </c>
      <c r="B53" s="595">
        <v>36.155226228296641</v>
      </c>
      <c r="C53" s="598">
        <v>965.25770568847656</v>
      </c>
      <c r="D53" s="598">
        <v>57.140339063540971</v>
      </c>
      <c r="E53" s="598">
        <f t="shared" si="0"/>
        <v>433.86271473955969</v>
      </c>
      <c r="F53" s="598">
        <f t="shared" si="1"/>
        <v>0.20858784362478833</v>
      </c>
      <c r="G53" s="676">
        <f t="shared" si="2"/>
        <v>201.34102337176989</v>
      </c>
    </row>
    <row r="54" spans="1:7">
      <c r="A54" s="663">
        <v>31</v>
      </c>
      <c r="B54" s="595">
        <v>20.174968139386504</v>
      </c>
      <c r="C54" s="598">
        <v>59.690301895141602</v>
      </c>
      <c r="D54" s="598">
        <v>5.914449224625125</v>
      </c>
      <c r="E54" s="598">
        <f t="shared" si="0"/>
        <v>192.97369881060433</v>
      </c>
      <c r="F54" s="598">
        <f t="shared" si="1"/>
        <v>9.2775816735867461E-2</v>
      </c>
      <c r="G54" s="676">
        <f t="shared" si="2"/>
        <v>5.5378165095322593</v>
      </c>
    </row>
    <row r="55" spans="1:7">
      <c r="A55" s="663">
        <v>32</v>
      </c>
      <c r="B55" s="595">
        <v>32.144550629063467</v>
      </c>
      <c r="C55" s="598">
        <v>3428.3185119628906</v>
      </c>
      <c r="D55" s="598">
        <v>31.249772014147695</v>
      </c>
      <c r="E55" s="598">
        <f t="shared" si="0"/>
        <v>358.52033531792057</v>
      </c>
      <c r="F55" s="598">
        <f t="shared" si="1"/>
        <v>0.17236554582592334</v>
      </c>
      <c r="G55" s="676">
        <f t="shared" si="2"/>
        <v>590.92399157960097</v>
      </c>
    </row>
    <row r="56" spans="1:7">
      <c r="A56" s="663">
        <v>33</v>
      </c>
      <c r="B56" s="595">
        <v>62.00694365734163</v>
      </c>
      <c r="C56" s="598">
        <v>25250.825836181641</v>
      </c>
      <c r="D56" s="598">
        <v>103.77735085183373</v>
      </c>
      <c r="E56" s="598">
        <f t="shared" si="0"/>
        <v>637.93073295698639</v>
      </c>
      <c r="F56" s="598">
        <f t="shared" si="1"/>
        <v>0.3066974677677819</v>
      </c>
      <c r="G56" s="676">
        <f t="shared" si="2"/>
        <v>7744.364343002193</v>
      </c>
    </row>
    <row r="57" spans="1:7">
      <c r="A57" s="663">
        <v>36</v>
      </c>
      <c r="B57" s="595">
        <v>182.54513398307418</v>
      </c>
      <c r="C57" s="598">
        <v>445.01730346679687</v>
      </c>
      <c r="D57" s="598">
        <v>92.269180719077298</v>
      </c>
      <c r="E57" s="598">
        <f t="shared" si="0"/>
        <v>927.6738120138732</v>
      </c>
      <c r="F57" s="598">
        <f t="shared" si="1"/>
        <v>0.44599702500666982</v>
      </c>
      <c r="G57" s="676">
        <f t="shared" si="2"/>
        <v>198.47639342268178</v>
      </c>
    </row>
    <row r="58" spans="1:7">
      <c r="A58" s="663">
        <v>38</v>
      </c>
      <c r="B58" s="595">
        <v>4</v>
      </c>
      <c r="C58" s="598">
        <v>159.74349975585937</v>
      </c>
      <c r="D58" s="598">
        <v>0</v>
      </c>
      <c r="E58" s="598">
        <f t="shared" si="0"/>
        <v>48</v>
      </c>
      <c r="F58" s="598">
        <f t="shared" si="1"/>
        <v>2.3076923076923078E-2</v>
      </c>
      <c r="G58" s="676">
        <f t="shared" si="2"/>
        <v>3.6863884559044475</v>
      </c>
    </row>
    <row r="59" spans="1:7">
      <c r="A59" s="663">
        <v>62</v>
      </c>
      <c r="B59" s="595">
        <v>54.962141009877442</v>
      </c>
      <c r="C59" s="598">
        <v>54073.481708526611</v>
      </c>
      <c r="D59" s="598">
        <v>106.29224807335856</v>
      </c>
      <c r="E59" s="598">
        <f t="shared" si="0"/>
        <v>523.41429062655027</v>
      </c>
      <c r="F59" s="598">
        <f t="shared" si="1"/>
        <v>0.25164148587814916</v>
      </c>
      <c r="G59" s="676">
        <f t="shared" si="2"/>
        <v>13607.131283738556</v>
      </c>
    </row>
    <row r="60" spans="1:7">
      <c r="A60" s="663">
        <v>63</v>
      </c>
      <c r="B60" s="595">
        <v>36</v>
      </c>
      <c r="C60" s="598">
        <v>52.475101470947266</v>
      </c>
      <c r="D60" s="598">
        <v>0</v>
      </c>
      <c r="E60" s="598">
        <f t="shared" si="0"/>
        <v>252</v>
      </c>
      <c r="F60" s="598">
        <f t="shared" si="1"/>
        <v>0.12115384615384615</v>
      </c>
      <c r="G60" s="676">
        <f t="shared" si="2"/>
        <v>6.3575603705186108</v>
      </c>
    </row>
    <row r="61" spans="1:7">
      <c r="A61" s="663">
        <v>93</v>
      </c>
      <c r="B61" s="595">
        <v>38.190886755586391</v>
      </c>
      <c r="C61" s="598">
        <v>4648.2257308959961</v>
      </c>
      <c r="D61" s="598">
        <v>65.788138385227185</v>
      </c>
      <c r="E61" s="598">
        <f t="shared" si="0"/>
        <v>428.25157111516467</v>
      </c>
      <c r="F61" s="598">
        <f t="shared" si="1"/>
        <v>0.20589017842075225</v>
      </c>
      <c r="G61" s="676">
        <f t="shared" si="2"/>
        <v>957.02402507410818</v>
      </c>
    </row>
    <row r="62" spans="1:7" ht="13.5" thickBot="1">
      <c r="A62" s="665" t="s">
        <v>1221</v>
      </c>
      <c r="B62" s="666">
        <v>55.422580208111938</v>
      </c>
      <c r="C62" s="667">
        <v>92042.454988479614</v>
      </c>
      <c r="D62" s="667">
        <v>100.66554428665184</v>
      </c>
      <c r="E62" s="667"/>
      <c r="F62" s="667"/>
      <c r="G62" s="677">
        <f>+SUM(G51:G61)</f>
        <v>23872.024473472342</v>
      </c>
    </row>
    <row r="63" spans="1:7">
      <c r="B63" s="596"/>
      <c r="C63" s="597"/>
      <c r="D63" s="597"/>
      <c r="E63" s="597"/>
      <c r="F63" s="597"/>
      <c r="G63" s="597"/>
    </row>
    <row r="64" spans="1:7">
      <c r="B64" s="596"/>
      <c r="C64" s="597"/>
      <c r="D64" s="597"/>
      <c r="E64" s="597"/>
      <c r="F64" s="597"/>
      <c r="G64" s="597"/>
    </row>
    <row r="65" spans="1:7" ht="13.5" thickBot="1">
      <c r="A65" s="593"/>
      <c r="B65" s="596"/>
      <c r="C65" s="597"/>
      <c r="D65" s="597"/>
      <c r="E65" s="597"/>
      <c r="F65" s="597"/>
      <c r="G65" s="597"/>
    </row>
    <row r="66" spans="1:7">
      <c r="A66" s="656" t="s">
        <v>1213</v>
      </c>
      <c r="B66" s="657"/>
      <c r="C66" s="658"/>
      <c r="D66" s="660"/>
      <c r="E66" s="597"/>
      <c r="F66" s="597"/>
      <c r="G66" s="597"/>
    </row>
    <row r="67" spans="1:7" ht="51">
      <c r="A67" s="661" t="s">
        <v>1219</v>
      </c>
      <c r="B67" s="637" t="s">
        <v>596</v>
      </c>
      <c r="C67" s="638" t="s">
        <v>593</v>
      </c>
      <c r="D67" s="662" t="s">
        <v>1220</v>
      </c>
      <c r="E67" s="597"/>
      <c r="F67" s="597"/>
      <c r="G67" s="597"/>
    </row>
    <row r="68" spans="1:7">
      <c r="A68" s="663">
        <v>11</v>
      </c>
      <c r="B68" s="595">
        <v>0</v>
      </c>
      <c r="C68" s="598">
        <v>456.6868896484375</v>
      </c>
      <c r="D68" s="664">
        <v>0</v>
      </c>
      <c r="E68" s="597"/>
      <c r="F68" s="597"/>
      <c r="G68" s="597"/>
    </row>
    <row r="69" spans="1:7">
      <c r="A69" s="663">
        <v>12</v>
      </c>
      <c r="B69" s="595">
        <v>0</v>
      </c>
      <c r="C69" s="598">
        <v>2502.7323989868164</v>
      </c>
      <c r="D69" s="664">
        <v>0</v>
      </c>
      <c r="E69" s="597"/>
      <c r="F69" s="597"/>
      <c r="G69" s="597"/>
    </row>
    <row r="70" spans="1:7">
      <c r="A70" s="663">
        <v>29</v>
      </c>
      <c r="B70" s="595">
        <v>0</v>
      </c>
      <c r="C70" s="598">
        <v>965.25770568847656</v>
      </c>
      <c r="D70" s="664">
        <v>0</v>
      </c>
      <c r="E70" s="597"/>
      <c r="F70" s="597"/>
      <c r="G70" s="597"/>
    </row>
    <row r="71" spans="1:7">
      <c r="A71" s="663">
        <v>31</v>
      </c>
      <c r="B71" s="595">
        <v>0</v>
      </c>
      <c r="C71" s="598">
        <v>59.690301895141602</v>
      </c>
      <c r="D71" s="664">
        <v>0</v>
      </c>
      <c r="E71" s="597"/>
      <c r="F71" s="597"/>
      <c r="G71" s="597"/>
    </row>
    <row r="72" spans="1:7">
      <c r="A72" s="663">
        <v>32</v>
      </c>
      <c r="B72" s="674">
        <v>0.98602299264510129</v>
      </c>
      <c r="C72" s="598">
        <v>3428.3185119628906</v>
      </c>
      <c r="D72" s="664">
        <v>2.8114535696474952</v>
      </c>
      <c r="E72" s="597"/>
      <c r="F72" s="597"/>
      <c r="G72" s="597"/>
    </row>
    <row r="73" spans="1:7">
      <c r="A73" s="663">
        <v>33</v>
      </c>
      <c r="B73" s="674">
        <v>0.47800885867536402</v>
      </c>
      <c r="C73" s="598">
        <v>25671.995727539063</v>
      </c>
      <c r="D73" s="664">
        <v>1.1632547510904274</v>
      </c>
      <c r="E73" s="597"/>
      <c r="F73" s="597"/>
      <c r="G73" s="597"/>
    </row>
    <row r="74" spans="1:7">
      <c r="A74" s="663">
        <v>36</v>
      </c>
      <c r="B74" s="674">
        <v>3.735990730423203</v>
      </c>
      <c r="C74" s="598">
        <v>445.01730346679687</v>
      </c>
      <c r="D74" s="664">
        <v>3.4020425879066667</v>
      </c>
      <c r="E74" s="597"/>
      <c r="F74" s="597"/>
      <c r="G74" s="597"/>
    </row>
    <row r="75" spans="1:7">
      <c r="A75" s="663">
        <v>38</v>
      </c>
      <c r="B75" s="595">
        <v>0</v>
      </c>
      <c r="C75" s="598">
        <v>159.74349975585937</v>
      </c>
      <c r="D75" s="664">
        <v>0</v>
      </c>
      <c r="E75" s="597"/>
      <c r="F75" s="597"/>
      <c r="G75" s="597"/>
    </row>
    <row r="76" spans="1:7">
      <c r="A76" s="663">
        <v>62</v>
      </c>
      <c r="B76" s="674">
        <v>0.27959281205463227</v>
      </c>
      <c r="C76" s="598">
        <v>54073.481708526611</v>
      </c>
      <c r="D76" s="664">
        <v>2.2854732361537171</v>
      </c>
      <c r="E76" s="597"/>
      <c r="F76" s="597"/>
      <c r="G76" s="597"/>
    </row>
    <row r="77" spans="1:7">
      <c r="A77" s="663">
        <v>63</v>
      </c>
      <c r="B77" s="595">
        <v>0</v>
      </c>
      <c r="C77" s="598">
        <v>52.475101470947266</v>
      </c>
      <c r="D77" s="664">
        <v>0</v>
      </c>
      <c r="E77" s="597"/>
      <c r="F77" s="597"/>
      <c r="G77" s="597"/>
    </row>
    <row r="78" spans="1:7">
      <c r="A78" s="663">
        <v>93</v>
      </c>
      <c r="B78" s="595">
        <v>0</v>
      </c>
      <c r="C78" s="598">
        <v>4648.2257308959961</v>
      </c>
      <c r="D78" s="664">
        <v>0</v>
      </c>
      <c r="E78" s="597"/>
      <c r="F78" s="597"/>
      <c r="G78" s="597"/>
    </row>
    <row r="79" spans="1:7" ht="13.5" thickBot="1">
      <c r="A79" s="665" t="s">
        <v>1221</v>
      </c>
      <c r="B79" s="666">
        <v>0.35076474265200547</v>
      </c>
      <c r="C79" s="667">
        <v>92463.624879837036</v>
      </c>
      <c r="D79" s="669">
        <v>1.9667882563050167</v>
      </c>
      <c r="E79" s="597"/>
      <c r="F79" s="597"/>
      <c r="G79" s="597"/>
    </row>
    <row r="80" spans="1:7">
      <c r="B80" s="596"/>
      <c r="C80" s="597"/>
      <c r="D80" s="597"/>
      <c r="E80" s="597"/>
      <c r="F80" s="597"/>
      <c r="G80" s="597"/>
    </row>
    <row r="81" spans="1:10" ht="13.5" thickBot="1">
      <c r="A81" s="593"/>
      <c r="B81" s="596"/>
      <c r="C81" s="597"/>
      <c r="D81" s="597"/>
    </row>
    <row r="82" spans="1:10">
      <c r="A82" s="656" t="s">
        <v>1217</v>
      </c>
      <c r="B82" s="657"/>
      <c r="C82" s="658"/>
      <c r="D82" s="658"/>
      <c r="E82" s="658"/>
      <c r="F82" s="658"/>
      <c r="G82" s="660"/>
    </row>
    <row r="83" spans="1:10" ht="51">
      <c r="A83" s="661" t="s">
        <v>1219</v>
      </c>
      <c r="B83" s="637" t="s">
        <v>596</v>
      </c>
      <c r="C83" s="638" t="s">
        <v>593</v>
      </c>
      <c r="D83" s="639" t="s">
        <v>1220</v>
      </c>
      <c r="E83" s="639" t="s">
        <v>1254</v>
      </c>
      <c r="F83" s="639" t="s">
        <v>1255</v>
      </c>
      <c r="G83" s="662" t="s">
        <v>1259</v>
      </c>
      <c r="I83" s="1176" t="s">
        <v>1556</v>
      </c>
    </row>
    <row r="84" spans="1:10">
      <c r="A84" s="663">
        <v>32</v>
      </c>
      <c r="B84" s="595">
        <v>10</v>
      </c>
      <c r="C84" s="598">
        <v>375.60009765625</v>
      </c>
      <c r="D84" s="598">
        <v>0</v>
      </c>
      <c r="E84" s="598">
        <f>+B84*B23</f>
        <v>111.533783581272</v>
      </c>
      <c r="F84" s="598">
        <f>+E84/(52*40)</f>
        <v>5.362201133715E-2</v>
      </c>
      <c r="G84" s="676">
        <f>+F84*C84</f>
        <v>20.140432694758083</v>
      </c>
      <c r="I84" s="1177">
        <f>+B94/E84</f>
        <v>16.497243623580975</v>
      </c>
      <c r="J84" s="594">
        <f>+I84*8</f>
        <v>131.9779489886478</v>
      </c>
    </row>
    <row r="85" spans="1:10">
      <c r="A85" s="663">
        <v>33</v>
      </c>
      <c r="B85" s="595">
        <v>16.480986582132491</v>
      </c>
      <c r="C85" s="598">
        <v>5291.0184459686279</v>
      </c>
      <c r="D85" s="598">
        <v>19.357943790987729</v>
      </c>
      <c r="E85" s="598">
        <f>+B85*B24</f>
        <v>169.55726617158001</v>
      </c>
      <c r="F85" s="598">
        <f>+E85/(52*40)</f>
        <v>8.1517916428644241E-2</v>
      </c>
      <c r="G85" s="676">
        <f>+F85*C85</f>
        <v>431.31279950088572</v>
      </c>
      <c r="I85" s="1177">
        <f>+B95/E85</f>
        <v>49.598555587099689</v>
      </c>
      <c r="J85" s="594">
        <f>+I85*8</f>
        <v>396.78844469679751</v>
      </c>
    </row>
    <row r="86" spans="1:10">
      <c r="A86" s="663">
        <v>36</v>
      </c>
      <c r="B86" s="595">
        <v>13.209392477707219</v>
      </c>
      <c r="C86" s="598">
        <v>308.82530212402344</v>
      </c>
      <c r="D86" s="598">
        <v>1.595497641486459</v>
      </c>
      <c r="E86" s="598">
        <f>+B86*B25</f>
        <v>67.128644882521186</v>
      </c>
      <c r="F86" s="598">
        <f>+E86/(52*40)</f>
        <v>3.2273386962750568E-2</v>
      </c>
      <c r="G86" s="676">
        <f>+F86*C86</f>
        <v>9.966838479336964</v>
      </c>
      <c r="I86" s="1177">
        <f>+B96/E86</f>
        <v>85.433393961224212</v>
      </c>
      <c r="J86" s="594">
        <f>+I86*8</f>
        <v>683.4671516897937</v>
      </c>
    </row>
    <row r="87" spans="1:10">
      <c r="A87" s="663">
        <v>62</v>
      </c>
      <c r="B87" s="595">
        <v>7.9781056261637611</v>
      </c>
      <c r="C87" s="598">
        <v>2818.6423797607422</v>
      </c>
      <c r="D87" s="598">
        <v>2.4420288162197687</v>
      </c>
      <c r="E87" s="598">
        <f>+B87*B27</f>
        <v>75.976925573400379</v>
      </c>
      <c r="F87" s="598">
        <f>+E87/(52*40)</f>
        <v>3.6527368064134799E-2</v>
      </c>
      <c r="G87" s="676">
        <f>+F87*C87</f>
        <v>102.95758764668945</v>
      </c>
      <c r="I87" s="1177">
        <f>+B97/E87</f>
        <v>509.14447924284349</v>
      </c>
    </row>
    <row r="88" spans="1:10" ht="13.5" thickBot="1">
      <c r="A88" s="665" t="s">
        <v>1221</v>
      </c>
      <c r="B88" s="666">
        <v>13.363983844096506</v>
      </c>
      <c r="C88" s="667">
        <v>8794.0862255096436</v>
      </c>
      <c r="D88" s="667">
        <v>15.590723479605488</v>
      </c>
      <c r="E88" s="667"/>
      <c r="F88" s="667"/>
      <c r="G88" s="677">
        <f>+SUM(G84:G87)</f>
        <v>564.3776583216702</v>
      </c>
    </row>
    <row r="89" spans="1:10">
      <c r="B89" s="596"/>
      <c r="C89" s="597"/>
      <c r="D89" s="597"/>
      <c r="E89" s="597"/>
      <c r="F89" s="597"/>
      <c r="G89" s="597"/>
    </row>
    <row r="90" spans="1:10">
      <c r="B90" s="596"/>
      <c r="C90" s="597"/>
      <c r="D90" s="597"/>
      <c r="E90" s="597"/>
      <c r="F90" s="597"/>
      <c r="G90" s="597"/>
    </row>
    <row r="91" spans="1:10" ht="13.5" thickBot="1">
      <c r="A91" s="599"/>
      <c r="B91" s="600"/>
      <c r="C91" s="601"/>
      <c r="D91" s="601"/>
      <c r="E91" s="597"/>
      <c r="F91" s="597"/>
      <c r="G91" s="597"/>
    </row>
    <row r="92" spans="1:10">
      <c r="A92" s="656" t="s">
        <v>1218</v>
      </c>
      <c r="B92" s="657"/>
      <c r="C92" s="658"/>
      <c r="D92" s="658"/>
      <c r="E92" s="658"/>
      <c r="F92" s="660"/>
    </row>
    <row r="93" spans="1:10" ht="51">
      <c r="A93" s="661" t="s">
        <v>1219</v>
      </c>
      <c r="B93" s="678" t="s">
        <v>1256</v>
      </c>
      <c r="C93" s="638" t="s">
        <v>593</v>
      </c>
      <c r="D93" s="639" t="s">
        <v>1220</v>
      </c>
      <c r="E93" s="639" t="s">
        <v>1257</v>
      </c>
      <c r="F93" s="662" t="s">
        <v>1258</v>
      </c>
    </row>
    <row r="94" spans="1:10">
      <c r="A94" s="663">
        <v>32</v>
      </c>
      <c r="B94" s="595">
        <v>1840</v>
      </c>
      <c r="C94" s="598">
        <v>375.60009765625</v>
      </c>
      <c r="D94" s="598">
        <v>0</v>
      </c>
      <c r="E94" s="598">
        <f>+B94*B23</f>
        <v>20522.216178954048</v>
      </c>
      <c r="F94" s="679">
        <f>+E94*C94</f>
        <v>7708146.4009378143</v>
      </c>
    </row>
    <row r="95" spans="1:10">
      <c r="A95" s="663">
        <v>33</v>
      </c>
      <c r="B95" s="595">
        <v>8409.7954914077691</v>
      </c>
      <c r="C95" s="598">
        <v>4845.2518444061279</v>
      </c>
      <c r="D95" s="598">
        <v>13173.987230702274</v>
      </c>
      <c r="E95" s="598">
        <f>+B95*B24</f>
        <v>86520.423123885368</v>
      </c>
      <c r="F95" s="679">
        <f>+E95*C95</f>
        <v>419213239.71980417</v>
      </c>
    </row>
    <row r="96" spans="1:10">
      <c r="A96" s="663">
        <v>36</v>
      </c>
      <c r="B96" s="595">
        <v>5735.0279643315498</v>
      </c>
      <c r="C96" s="598">
        <v>308.82530212402344</v>
      </c>
      <c r="D96" s="598">
        <v>2552.7962263783343</v>
      </c>
      <c r="E96" s="598">
        <f>+B96*B25</f>
        <v>29144.766215301643</v>
      </c>
      <c r="F96" s="679">
        <f>+E96*C96</f>
        <v>9000641.2317745611</v>
      </c>
    </row>
    <row r="97" spans="1:19">
      <c r="A97" s="663">
        <v>62</v>
      </c>
      <c r="B97" s="715">
        <v>38683.232205541215</v>
      </c>
      <c r="C97" s="598">
        <v>2818.6423797607422</v>
      </c>
      <c r="D97" s="598">
        <v>124489.51651137977</v>
      </c>
      <c r="E97" s="598">
        <f>+B97*B27</f>
        <v>368387.33302559587</v>
      </c>
      <c r="F97" s="714">
        <f>+E97*C97</f>
        <v>1038352149.0329787</v>
      </c>
      <c r="G97" s="719" t="s">
        <v>1264</v>
      </c>
      <c r="H97" s="719"/>
      <c r="I97" s="719"/>
      <c r="J97" s="719"/>
      <c r="K97" s="719"/>
      <c r="L97" s="719"/>
      <c r="M97" s="719"/>
      <c r="N97" s="719"/>
      <c r="O97" s="719"/>
      <c r="P97" s="719"/>
      <c r="Q97" s="719"/>
      <c r="R97" s="719"/>
      <c r="S97" s="719"/>
    </row>
    <row r="98" spans="1:19" ht="13.5" thickBot="1">
      <c r="A98" s="665" t="s">
        <v>1221</v>
      </c>
      <c r="B98" s="666">
        <v>18236.48441576627</v>
      </c>
      <c r="C98" s="667">
        <v>8348.3196239471436</v>
      </c>
      <c r="D98" s="667">
        <v>74480.177019318071</v>
      </c>
      <c r="E98" s="667"/>
      <c r="F98" s="680">
        <f>+SUM(F94:F97)</f>
        <v>1474274176.3854952</v>
      </c>
    </row>
    <row r="99" spans="1:19">
      <c r="B99" s="596"/>
      <c r="C99" s="597"/>
      <c r="D99" s="597"/>
      <c r="E99" s="597"/>
      <c r="F99" s="597"/>
      <c r="G99" s="597"/>
    </row>
    <row r="100" spans="1:19">
      <c r="B100" s="596"/>
      <c r="C100" s="597"/>
      <c r="D100" s="597"/>
      <c r="E100" s="597"/>
      <c r="F100" s="597"/>
      <c r="G100" s="597"/>
    </row>
    <row r="101" spans="1:19" ht="13.5" thickBot="1">
      <c r="A101" s="599"/>
      <c r="B101" s="596"/>
      <c r="C101" s="597"/>
      <c r="D101" s="597"/>
      <c r="E101" s="597"/>
      <c r="F101" s="597"/>
      <c r="G101" s="597"/>
    </row>
    <row r="102" spans="1:19">
      <c r="A102" s="656" t="s">
        <v>1265</v>
      </c>
      <c r="B102" s="657"/>
      <c r="C102" s="658"/>
      <c r="D102" s="658"/>
      <c r="E102" s="659"/>
      <c r="F102" s="659"/>
      <c r="G102" s="658"/>
      <c r="H102" s="671"/>
    </row>
    <row r="103" spans="1:19" ht="54" customHeight="1">
      <c r="A103" s="661" t="s">
        <v>1219</v>
      </c>
      <c r="B103" s="637" t="s">
        <v>596</v>
      </c>
      <c r="C103" s="638" t="s">
        <v>593</v>
      </c>
      <c r="D103" s="639" t="s">
        <v>1220</v>
      </c>
      <c r="E103" s="639" t="s">
        <v>1266</v>
      </c>
      <c r="F103" s="639" t="s">
        <v>1262</v>
      </c>
      <c r="G103" s="639" t="s">
        <v>1261</v>
      </c>
      <c r="H103" s="721" t="s">
        <v>1263</v>
      </c>
    </row>
    <row r="104" spans="1:19">
      <c r="A104" s="663">
        <v>11</v>
      </c>
      <c r="B104" s="595">
        <v>1600</v>
      </c>
      <c r="C104" s="598">
        <v>456.6868896484375</v>
      </c>
      <c r="D104" s="598">
        <v>0</v>
      </c>
      <c r="E104" s="655">
        <f>+B$136</f>
        <v>0.64580000000000004</v>
      </c>
      <c r="F104" s="598">
        <f>+E104*B104</f>
        <v>1033.28</v>
      </c>
      <c r="G104" s="716">
        <f t="shared" ref="G104:G114" si="3">+F104*B19</f>
        <v>8266.24</v>
      </c>
      <c r="H104" s="718">
        <f>+G104*C104</f>
        <v>3775083.4346874999</v>
      </c>
    </row>
    <row r="105" spans="1:19">
      <c r="A105" s="663">
        <v>12</v>
      </c>
      <c r="B105" s="595">
        <v>4272.5449598209698</v>
      </c>
      <c r="C105" s="598">
        <v>2378.8003005981445</v>
      </c>
      <c r="D105" s="598">
        <v>4186.8300899436281</v>
      </c>
      <c r="E105" s="655">
        <f>+B131</f>
        <v>0.5</v>
      </c>
      <c r="F105" s="598">
        <f t="shared" ref="F105:F114" si="4">+E105*B105</f>
        <v>2136.2724799104849</v>
      </c>
      <c r="G105" s="716">
        <f t="shared" si="3"/>
        <v>15507.86773611808</v>
      </c>
      <c r="H105" s="718">
        <f t="shared" ref="H105:H114" si="5">+G105*C105</f>
        <v>36890120.432313956</v>
      </c>
    </row>
    <row r="106" spans="1:19">
      <c r="A106" s="663">
        <v>29</v>
      </c>
      <c r="B106" s="595">
        <v>16324.178797972383</v>
      </c>
      <c r="C106" s="598">
        <v>965.25770568847656</v>
      </c>
      <c r="D106" s="598">
        <v>7459.9887110734053</v>
      </c>
      <c r="E106" s="655">
        <f>+B$136</f>
        <v>0.64580000000000004</v>
      </c>
      <c r="F106" s="598">
        <f t="shared" si="4"/>
        <v>10542.154667730565</v>
      </c>
      <c r="G106" s="716">
        <f t="shared" si="3"/>
        <v>126505.85601276677</v>
      </c>
      <c r="H106" s="718">
        <f t="shared" si="5"/>
        <v>122110752.33104002</v>
      </c>
    </row>
    <row r="107" spans="1:19">
      <c r="A107" s="663">
        <v>31</v>
      </c>
      <c r="B107" s="595">
        <v>1292.8309968883436</v>
      </c>
      <c r="C107" s="598">
        <v>59.690301895141602</v>
      </c>
      <c r="D107" s="598">
        <v>433.72627647250908</v>
      </c>
      <c r="E107" s="655">
        <f>+B132</f>
        <v>0.5</v>
      </c>
      <c r="F107" s="598">
        <f t="shared" si="4"/>
        <v>646.41549844417182</v>
      </c>
      <c r="G107" s="716">
        <f t="shared" si="3"/>
        <v>6182.9683616573739</v>
      </c>
      <c r="H107" s="718">
        <f t="shared" si="5"/>
        <v>369063.24811543769</v>
      </c>
    </row>
    <row r="108" spans="1:19">
      <c r="A108" s="663">
        <v>32</v>
      </c>
      <c r="B108" s="595">
        <v>6584.7436228838533</v>
      </c>
      <c r="C108" s="598">
        <v>3428.3185119628906</v>
      </c>
      <c r="D108" s="598">
        <v>11387.425819471493</v>
      </c>
      <c r="E108" s="655">
        <f>+B$136</f>
        <v>0.64580000000000004</v>
      </c>
      <c r="F108" s="598">
        <f t="shared" si="4"/>
        <v>4252.4274316583924</v>
      </c>
      <c r="G108" s="716">
        <f t="shared" si="3"/>
        <v>47428.932085765147</v>
      </c>
      <c r="H108" s="718">
        <f t="shared" si="5"/>
        <v>162601485.87225938</v>
      </c>
    </row>
    <row r="109" spans="1:19">
      <c r="A109" s="663">
        <v>33</v>
      </c>
      <c r="B109" s="595">
        <v>10474.262111036682</v>
      </c>
      <c r="C109" s="598">
        <v>25671.995727539063</v>
      </c>
      <c r="D109" s="598">
        <v>15606.431757734577</v>
      </c>
      <c r="E109" s="655">
        <f>+B133</f>
        <v>0.57220000000000004</v>
      </c>
      <c r="F109" s="598">
        <f t="shared" si="4"/>
        <v>5993.37277993519</v>
      </c>
      <c r="G109" s="716">
        <f t="shared" si="3"/>
        <v>61660.137798709598</v>
      </c>
      <c r="H109" s="718">
        <f t="shared" si="5"/>
        <v>1582938794.1279426</v>
      </c>
    </row>
    <row r="110" spans="1:19">
      <c r="A110" s="663">
        <v>36</v>
      </c>
      <c r="B110" s="595">
        <v>15600.879818426785</v>
      </c>
      <c r="C110" s="598">
        <v>445.01730346679687</v>
      </c>
      <c r="D110" s="598">
        <v>5199.3649622794446</v>
      </c>
      <c r="E110" s="655">
        <f>+B134</f>
        <v>0.5</v>
      </c>
      <c r="F110" s="598">
        <f t="shared" si="4"/>
        <v>7800.4399092133926</v>
      </c>
      <c r="G110" s="716">
        <f t="shared" si="3"/>
        <v>39640.957105085559</v>
      </c>
      <c r="H110" s="718">
        <f t="shared" si="5"/>
        <v>17640911.837748136</v>
      </c>
    </row>
    <row r="111" spans="1:19">
      <c r="A111" s="663">
        <v>38</v>
      </c>
      <c r="B111" s="595">
        <v>3499.9999999999995</v>
      </c>
      <c r="C111" s="598">
        <v>159.74349975585937</v>
      </c>
      <c r="D111" s="598">
        <v>0</v>
      </c>
      <c r="E111" s="655">
        <f>+B$136</f>
        <v>0.64580000000000004</v>
      </c>
      <c r="F111" s="598">
        <f t="shared" si="4"/>
        <v>2260.2999999999997</v>
      </c>
      <c r="G111" s="716">
        <f t="shared" si="3"/>
        <v>27123.599999999999</v>
      </c>
      <c r="H111" s="718">
        <f t="shared" si="5"/>
        <v>4332818.7899780273</v>
      </c>
    </row>
    <row r="112" spans="1:19">
      <c r="A112" s="663">
        <v>62</v>
      </c>
      <c r="B112" s="595">
        <v>12861.43911684219</v>
      </c>
      <c r="C112" s="598">
        <v>54073.481708526611</v>
      </c>
      <c r="D112" s="598">
        <v>103527.76427883109</v>
      </c>
      <c r="E112" s="655">
        <f>+B135</f>
        <v>0.75490000000000002</v>
      </c>
      <c r="F112" s="598">
        <f t="shared" si="4"/>
        <v>9709.1003893041689</v>
      </c>
      <c r="G112" s="716">
        <f t="shared" si="3"/>
        <v>92461.498033279349</v>
      </c>
      <c r="H112" s="718">
        <f t="shared" si="5"/>
        <v>4999715122.6455002</v>
      </c>
    </row>
    <row r="113" spans="1:8">
      <c r="A113" s="663">
        <v>63</v>
      </c>
      <c r="B113" s="595">
        <v>500</v>
      </c>
      <c r="C113" s="598">
        <v>52.475101470947266</v>
      </c>
      <c r="D113" s="598">
        <v>0</v>
      </c>
      <c r="E113" s="655">
        <f>+B$136</f>
        <v>0.64580000000000004</v>
      </c>
      <c r="F113" s="598">
        <f t="shared" si="4"/>
        <v>322.90000000000003</v>
      </c>
      <c r="G113" s="716">
        <f t="shared" si="3"/>
        <v>2260.3000000000002</v>
      </c>
      <c r="H113" s="718">
        <f t="shared" si="5"/>
        <v>118609.47185478211</v>
      </c>
    </row>
    <row r="114" spans="1:8">
      <c r="A114" s="663">
        <v>93</v>
      </c>
      <c r="B114" s="595">
        <v>6077.808859982084</v>
      </c>
      <c r="C114" s="598">
        <v>4431.9051284790039</v>
      </c>
      <c r="D114" s="598">
        <v>5736.3598452155893</v>
      </c>
      <c r="E114" s="655">
        <f>+B$136</f>
        <v>0.64580000000000004</v>
      </c>
      <c r="F114" s="598">
        <f t="shared" si="4"/>
        <v>3925.0489617764301</v>
      </c>
      <c r="G114" s="716">
        <f t="shared" si="3"/>
        <v>44013.337405390994</v>
      </c>
      <c r="H114" s="718">
        <f t="shared" si="5"/>
        <v>195062935.76842913</v>
      </c>
    </row>
    <row r="115" spans="1:8" ht="13.5" thickBot="1">
      <c r="A115" s="665" t="s">
        <v>1221</v>
      </c>
      <c r="B115" s="666">
        <v>11377.409351069135</v>
      </c>
      <c r="C115" s="667">
        <v>92123.372179031372</v>
      </c>
      <c r="D115" s="667">
        <v>79828.600121611264</v>
      </c>
      <c r="E115" s="668"/>
      <c r="F115" s="667"/>
      <c r="G115" s="717">
        <f>+SUM(G104:G114)</f>
        <v>471051.6945387728</v>
      </c>
      <c r="H115" s="680">
        <f>+SUM(H104:H114)</f>
        <v>7125555697.9598694</v>
      </c>
    </row>
    <row r="119" spans="1:8">
      <c r="A119" s="1754" t="s">
        <v>1250</v>
      </c>
      <c r="B119" s="1754"/>
      <c r="C119" s="1754"/>
      <c r="D119" s="1754"/>
      <c r="E119" s="1754"/>
      <c r="F119" s="1754"/>
      <c r="G119" s="1754"/>
    </row>
    <row r="120" spans="1:8" ht="37.5" customHeight="1">
      <c r="A120" s="1754"/>
      <c r="B120" s="1754"/>
      <c r="C120" s="1754"/>
      <c r="D120" s="1754"/>
      <c r="E120" s="1754"/>
      <c r="F120" s="1754"/>
      <c r="G120" s="1754"/>
    </row>
    <row r="121" spans="1:8" ht="13.5" thickBot="1">
      <c r="A121" s="593" t="s">
        <v>1247</v>
      </c>
    </row>
    <row r="122" spans="1:8" ht="13.5" thickBot="1">
      <c r="A122" s="607" t="s">
        <v>1248</v>
      </c>
      <c r="B122" s="608"/>
      <c r="C122" s="624"/>
    </row>
    <row r="123" spans="1:8">
      <c r="A123" s="1749" t="s">
        <v>593</v>
      </c>
      <c r="B123" s="698" t="s">
        <v>577</v>
      </c>
      <c r="C123" s="699">
        <v>4703</v>
      </c>
    </row>
    <row r="124" spans="1:8">
      <c r="A124" s="1750"/>
      <c r="B124" s="700" t="s">
        <v>590</v>
      </c>
      <c r="C124" s="701">
        <v>87760</v>
      </c>
    </row>
    <row r="125" spans="1:8">
      <c r="A125" s="1750" t="s">
        <v>596</v>
      </c>
      <c r="B125" s="1751"/>
      <c r="C125" s="702">
        <v>0.64580000000000004</v>
      </c>
    </row>
    <row r="126" spans="1:8" ht="13.5" thickBot="1">
      <c r="A126" s="1752" t="s">
        <v>1137</v>
      </c>
      <c r="B126" s="1753"/>
      <c r="C126" s="703">
        <v>3037.58</v>
      </c>
    </row>
    <row r="128" spans="1:8" ht="13.5" thickBot="1"/>
    <row r="129" spans="1:4" ht="15.75" thickBot="1">
      <c r="A129" s="704" t="s">
        <v>1249</v>
      </c>
      <c r="B129" s="681"/>
      <c r="C129" s="681"/>
      <c r="D129" s="682"/>
    </row>
    <row r="130" spans="1:4">
      <c r="A130" s="705" t="s">
        <v>1246</v>
      </c>
      <c r="B130" s="706" t="s">
        <v>596</v>
      </c>
      <c r="C130" s="706" t="s">
        <v>593</v>
      </c>
      <c r="D130" s="707" t="s">
        <v>597</v>
      </c>
    </row>
    <row r="131" spans="1:4">
      <c r="A131" s="708">
        <v>12</v>
      </c>
      <c r="B131" s="709">
        <v>0.5</v>
      </c>
      <c r="C131" s="710">
        <v>124</v>
      </c>
      <c r="D131" s="701">
        <v>0</v>
      </c>
    </row>
    <row r="132" spans="1:4">
      <c r="A132" s="708">
        <v>31</v>
      </c>
      <c r="B132" s="709">
        <v>0.5</v>
      </c>
      <c r="C132" s="710">
        <v>48</v>
      </c>
      <c r="D132" s="701">
        <v>0</v>
      </c>
    </row>
    <row r="133" spans="1:4">
      <c r="A133" s="708">
        <v>33</v>
      </c>
      <c r="B133" s="709">
        <v>0.57220000000000004</v>
      </c>
      <c r="C133" s="710">
        <v>2378</v>
      </c>
      <c r="D133" s="701">
        <v>0.34012999999999999</v>
      </c>
    </row>
    <row r="134" spans="1:4">
      <c r="A134" s="708">
        <v>36</v>
      </c>
      <c r="B134" s="709">
        <v>0.5</v>
      </c>
      <c r="C134" s="710">
        <v>136</v>
      </c>
      <c r="D134" s="701">
        <v>0</v>
      </c>
    </row>
    <row r="135" spans="1:4">
      <c r="A135" s="708">
        <v>62</v>
      </c>
      <c r="B135" s="709">
        <v>0.75490000000000002</v>
      </c>
      <c r="C135" s="710">
        <v>2017</v>
      </c>
      <c r="D135" s="701">
        <v>0.27912999999999999</v>
      </c>
    </row>
    <row r="136" spans="1:4" ht="13.5" thickBot="1">
      <c r="A136" s="711" t="s">
        <v>33</v>
      </c>
      <c r="B136" s="712">
        <v>0.64580000000000004</v>
      </c>
      <c r="C136" s="713">
        <v>4703</v>
      </c>
      <c r="D136" s="703">
        <v>0.31798999999999999</v>
      </c>
    </row>
  </sheetData>
  <mergeCells count="6">
    <mergeCell ref="A12:B12"/>
    <mergeCell ref="E25:F30"/>
    <mergeCell ref="A123:A124"/>
    <mergeCell ref="A125:B125"/>
    <mergeCell ref="A126:B126"/>
    <mergeCell ref="A119:G120"/>
  </mergeCells>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L63"/>
  <sheetViews>
    <sheetView workbookViewId="0"/>
  </sheetViews>
  <sheetFormatPr defaultColWidth="11.42578125" defaultRowHeight="15"/>
  <cols>
    <col min="1" max="1" width="15.85546875" customWidth="1"/>
    <col min="2" max="2" width="8.140625" customWidth="1"/>
    <col min="3" max="3" width="17.85546875" customWidth="1"/>
    <col min="4" max="4" width="18.42578125" customWidth="1"/>
    <col min="5" max="5" width="17.7109375" customWidth="1"/>
    <col min="6" max="6" width="16.85546875" customWidth="1"/>
    <col min="7" max="7" width="19.85546875" customWidth="1"/>
    <col min="8" max="8" width="18" customWidth="1"/>
    <col min="10" max="10" width="15.140625" customWidth="1"/>
    <col min="11" max="11" width="14.85546875" customWidth="1"/>
    <col min="12" max="12" width="19.42578125" customWidth="1"/>
  </cols>
  <sheetData>
    <row r="1" spans="1:12" ht="24.75">
      <c r="A1" s="1262" t="s">
        <v>856</v>
      </c>
      <c r="B1" s="1273"/>
      <c r="C1" s="1273"/>
      <c r="D1" s="1273"/>
      <c r="E1" s="1273"/>
      <c r="F1" s="1273"/>
      <c r="G1" s="1267"/>
    </row>
    <row r="2" spans="1:12">
      <c r="A2" t="s">
        <v>857</v>
      </c>
    </row>
    <row r="3" spans="1:12" ht="15.75" thickBot="1"/>
    <row r="4" spans="1:12" ht="16.5" thickBot="1">
      <c r="A4" s="362"/>
      <c r="B4" s="363"/>
      <c r="C4" s="364" t="s">
        <v>860</v>
      </c>
      <c r="D4" s="364"/>
      <c r="E4" s="364"/>
      <c r="F4" s="365" t="s">
        <v>583</v>
      </c>
      <c r="G4" s="366"/>
      <c r="H4" s="367"/>
      <c r="J4" s="726"/>
      <c r="K4" s="727" t="s">
        <v>858</v>
      </c>
      <c r="L4" s="728" t="s">
        <v>859</v>
      </c>
    </row>
    <row r="5" spans="1:12" ht="42" customHeight="1">
      <c r="A5" s="371" t="s">
        <v>862</v>
      </c>
      <c r="B5" s="372" t="s">
        <v>863</v>
      </c>
      <c r="C5" s="587" t="s">
        <v>864</v>
      </c>
      <c r="D5" s="587" t="s">
        <v>865</v>
      </c>
      <c r="E5" s="587" t="s">
        <v>866</v>
      </c>
      <c r="F5" s="588" t="s">
        <v>864</v>
      </c>
      <c r="G5" s="589" t="s">
        <v>865</v>
      </c>
      <c r="H5" s="590" t="s">
        <v>866</v>
      </c>
      <c r="J5" s="1758" t="s">
        <v>869</v>
      </c>
      <c r="K5" s="1759"/>
      <c r="L5" s="1760"/>
    </row>
    <row r="6" spans="1:12">
      <c r="A6" s="262" t="s">
        <v>867</v>
      </c>
      <c r="B6" s="732" t="s">
        <v>1286</v>
      </c>
      <c r="C6" s="373">
        <v>5375</v>
      </c>
      <c r="D6" s="734">
        <v>2610000</v>
      </c>
      <c r="E6" s="374">
        <f>+D6*$G$14</f>
        <v>386280000</v>
      </c>
      <c r="F6" s="375">
        <v>5178</v>
      </c>
      <c r="G6" s="737">
        <v>2520000</v>
      </c>
      <c r="H6" s="377">
        <f>+G6*$G$14</f>
        <v>372960000</v>
      </c>
      <c r="J6" s="368" t="s">
        <v>861</v>
      </c>
      <c r="K6" s="369">
        <f>+H11/F11</f>
        <v>72009.920173603037</v>
      </c>
      <c r="L6" s="370">
        <f>+K6/365</f>
        <v>197.28745253041927</v>
      </c>
    </row>
    <row r="7" spans="1:12" ht="15" customHeight="1" thickBot="1">
      <c r="A7" s="262" t="s">
        <v>868</v>
      </c>
      <c r="B7" s="732" t="s">
        <v>1287</v>
      </c>
      <c r="C7" s="373"/>
      <c r="D7" s="734"/>
      <c r="E7" s="369"/>
      <c r="F7" s="375"/>
      <c r="G7" s="737"/>
      <c r="H7" s="377"/>
      <c r="J7" s="729" t="s">
        <v>583</v>
      </c>
      <c r="K7" s="730">
        <f>+E11/C11</f>
        <v>72009.69017702085</v>
      </c>
      <c r="L7" s="731">
        <f>+K7/365</f>
        <v>197.28682240279684</v>
      </c>
    </row>
    <row r="8" spans="1:12">
      <c r="A8" s="262" t="s">
        <v>870</v>
      </c>
      <c r="B8" s="258">
        <v>49</v>
      </c>
      <c r="C8" s="373"/>
      <c r="D8" s="734"/>
      <c r="E8" s="369"/>
      <c r="F8" s="375"/>
      <c r="G8" s="737"/>
      <c r="H8" s="377"/>
      <c r="J8" s="725"/>
      <c r="K8" s="725"/>
      <c r="L8" s="725"/>
    </row>
    <row r="9" spans="1:12" ht="12" customHeight="1">
      <c r="A9" s="262" t="s">
        <v>871</v>
      </c>
      <c r="B9" s="258">
        <v>47</v>
      </c>
      <c r="C9" s="373"/>
      <c r="D9" s="734"/>
      <c r="E9" s="369"/>
      <c r="F9" s="375"/>
      <c r="G9" s="737"/>
      <c r="H9" s="377"/>
      <c r="J9" s="725"/>
      <c r="K9" s="725"/>
      <c r="L9" s="725"/>
    </row>
    <row r="10" spans="1:12" ht="60.75" thickBot="1">
      <c r="A10" s="332" t="s">
        <v>872</v>
      </c>
      <c r="B10" s="378"/>
      <c r="C10" s="379">
        <v>63148</v>
      </c>
      <c r="D10" s="736">
        <v>30730000</v>
      </c>
      <c r="E10" s="380">
        <f>+D10*$G$14</f>
        <v>4548040000</v>
      </c>
      <c r="F10" s="381">
        <v>59337</v>
      </c>
      <c r="G10" s="738">
        <v>28870000</v>
      </c>
      <c r="H10" s="382">
        <f>+G10*$G$14</f>
        <v>4272760000</v>
      </c>
      <c r="J10" s="725"/>
      <c r="K10" s="725"/>
      <c r="L10" s="725"/>
    </row>
    <row r="11" spans="1:12" ht="15.75" thickBot="1">
      <c r="A11" s="263" t="s">
        <v>33</v>
      </c>
      <c r="B11" s="166"/>
      <c r="C11" s="383">
        <f>+C10+C6</f>
        <v>68523</v>
      </c>
      <c r="D11" s="733">
        <f>+D10+D6</f>
        <v>33340000</v>
      </c>
      <c r="E11" s="384">
        <f>+D11*$G$14</f>
        <v>4934320000</v>
      </c>
      <c r="F11" s="385">
        <f>+F10+F6</f>
        <v>64515</v>
      </c>
      <c r="G11" s="735">
        <f>+G10+G6</f>
        <v>31390000</v>
      </c>
      <c r="H11" s="386">
        <f>+G11*$G$14</f>
        <v>4645720000</v>
      </c>
      <c r="J11" s="724"/>
      <c r="K11" s="724"/>
      <c r="L11" s="724"/>
    </row>
    <row r="12" spans="1:12" ht="15.75" thickBot="1">
      <c r="A12" s="262" t="s">
        <v>1288</v>
      </c>
      <c r="B12" s="249"/>
      <c r="C12" s="373">
        <f>+C11+F11</f>
        <v>133038</v>
      </c>
      <c r="D12" s="734">
        <f>+D11+G11</f>
        <v>64730000</v>
      </c>
      <c r="E12" s="374">
        <f>+E11+H11</f>
        <v>9580040000</v>
      </c>
      <c r="F12" s="376"/>
      <c r="G12" s="376"/>
      <c r="H12" s="377"/>
      <c r="J12" s="724"/>
      <c r="K12" s="724"/>
      <c r="L12" s="724"/>
    </row>
    <row r="13" spans="1:12">
      <c r="A13" s="387" t="s">
        <v>873</v>
      </c>
      <c r="B13" s="255"/>
      <c r="C13" s="255"/>
      <c r="D13" s="255"/>
      <c r="E13" s="255"/>
      <c r="F13" s="255"/>
      <c r="G13" s="255"/>
      <c r="H13" s="256"/>
      <c r="J13" s="724"/>
      <c r="K13" s="724"/>
      <c r="L13" s="724"/>
    </row>
    <row r="14" spans="1:12">
      <c r="A14" s="262" t="s">
        <v>874</v>
      </c>
      <c r="B14" s="249"/>
      <c r="C14" s="249"/>
      <c r="D14" s="249"/>
      <c r="E14" s="249"/>
      <c r="F14" s="388">
        <v>1</v>
      </c>
      <c r="G14" s="389">
        <v>148</v>
      </c>
      <c r="H14" s="258"/>
      <c r="J14" s="724"/>
      <c r="K14" s="724"/>
      <c r="L14" s="724"/>
    </row>
    <row r="15" spans="1:12">
      <c r="A15" s="262" t="s">
        <v>875</v>
      </c>
      <c r="B15" s="249"/>
      <c r="C15" s="249"/>
      <c r="D15" s="249"/>
      <c r="E15" s="249"/>
      <c r="F15" s="249"/>
      <c r="G15" s="249"/>
      <c r="H15" s="258"/>
    </row>
    <row r="16" spans="1:12" ht="30" customHeight="1" thickBot="1">
      <c r="A16" s="1755" t="s">
        <v>876</v>
      </c>
      <c r="B16" s="1756"/>
      <c r="C16" s="1756"/>
      <c r="D16" s="1756"/>
      <c r="E16" s="1756"/>
      <c r="F16" s="1756"/>
      <c r="G16" s="1756"/>
      <c r="H16" s="1757"/>
    </row>
    <row r="63" spans="10:10">
      <c r="J63" s="514"/>
    </row>
  </sheetData>
  <mergeCells count="2">
    <mergeCell ref="A16:H16"/>
    <mergeCell ref="J5:L5"/>
  </mergeCells>
  <pageMargins left="0.75" right="0.75" top="1" bottom="1" header="0.5" footer="0.5"/>
  <ignoredErrors>
    <ignoredError sqref="B6:B7" numberStoredAsText="1"/>
  </ignoredErrors>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4E7BF2"/>
  </sheetPr>
  <dimension ref="A1:J80"/>
  <sheetViews>
    <sheetView workbookViewId="0"/>
  </sheetViews>
  <sheetFormatPr defaultColWidth="10.85546875" defaultRowHeight="15"/>
  <cols>
    <col min="1" max="1" width="31" style="335" customWidth="1"/>
    <col min="2" max="2" width="10.85546875" style="335"/>
    <col min="3" max="3" width="13.28515625" style="335" customWidth="1"/>
    <col min="4" max="4" width="10.85546875" style="335"/>
    <col min="5" max="6" width="12.42578125" style="335" customWidth="1"/>
    <col min="7" max="7" width="41.28515625" style="335" customWidth="1"/>
    <col min="8" max="16384" width="10.85546875" style="335"/>
  </cols>
  <sheetData>
    <row r="1" spans="1:9" ht="25.5" thickBot="1">
      <c r="A1" s="1262" t="s">
        <v>843</v>
      </c>
      <c r="B1" s="1318"/>
      <c r="C1" s="1267"/>
    </row>
    <row r="2" spans="1:9" ht="15.75" thickBot="1">
      <c r="A2" s="342"/>
      <c r="B2" s="343" t="s">
        <v>837</v>
      </c>
      <c r="C2" s="343" t="s">
        <v>838</v>
      </c>
      <c r="D2" s="344" t="s">
        <v>839</v>
      </c>
      <c r="E2" s="345" t="s">
        <v>840</v>
      </c>
      <c r="F2" s="644"/>
      <c r="G2" s="335" t="s">
        <v>1245</v>
      </c>
    </row>
    <row r="3" spans="1:9" ht="15.75" thickBot="1">
      <c r="A3" s="259"/>
      <c r="B3" s="346">
        <v>2009</v>
      </c>
      <c r="C3" s="346">
        <v>2010</v>
      </c>
      <c r="D3" s="347">
        <v>2009</v>
      </c>
      <c r="E3" s="348">
        <v>2010</v>
      </c>
      <c r="F3" s="42"/>
      <c r="G3" s="342" t="s">
        <v>1244</v>
      </c>
      <c r="H3" s="648"/>
      <c r="I3" s="649"/>
    </row>
    <row r="4" spans="1:9">
      <c r="A4" s="342" t="s">
        <v>761</v>
      </c>
      <c r="B4" s="349"/>
      <c r="C4" s="350">
        <v>2770636</v>
      </c>
      <c r="D4" s="351"/>
      <c r="E4" s="352">
        <v>632295</v>
      </c>
      <c r="F4" s="645"/>
      <c r="G4" s="257"/>
      <c r="H4" s="650" t="s">
        <v>837</v>
      </c>
      <c r="I4" s="651" t="s">
        <v>1240</v>
      </c>
    </row>
    <row r="5" spans="1:9">
      <c r="A5" s="353" t="s">
        <v>762</v>
      </c>
      <c r="B5" s="336"/>
      <c r="C5" s="337">
        <v>120000</v>
      </c>
      <c r="D5" s="340"/>
      <c r="E5" s="354">
        <v>206534</v>
      </c>
      <c r="F5" s="645"/>
      <c r="G5" s="257" t="s">
        <v>1238</v>
      </c>
      <c r="H5" s="645">
        <f>+C21</f>
        <v>3110478</v>
      </c>
      <c r="I5" s="652">
        <f>+E21</f>
        <v>868551</v>
      </c>
    </row>
    <row r="6" spans="1:9">
      <c r="A6" s="353" t="s">
        <v>763</v>
      </c>
      <c r="B6" s="336"/>
      <c r="C6" s="337">
        <v>42000</v>
      </c>
      <c r="D6" s="340"/>
      <c r="E6" s="354">
        <v>0</v>
      </c>
      <c r="F6" s="645"/>
      <c r="G6" s="257" t="s">
        <v>1239</v>
      </c>
      <c r="H6" s="645">
        <f>+C24</f>
        <v>-12213</v>
      </c>
      <c r="I6" s="652">
        <f>+E24</f>
        <v>22728</v>
      </c>
    </row>
    <row r="7" spans="1:9">
      <c r="A7" s="353" t="s">
        <v>764</v>
      </c>
      <c r="B7" s="336"/>
      <c r="C7" s="337">
        <v>20000</v>
      </c>
      <c r="D7" s="340"/>
      <c r="E7" s="354">
        <v>0</v>
      </c>
      <c r="F7" s="645"/>
      <c r="G7" s="257" t="s">
        <v>1241</v>
      </c>
      <c r="H7" s="645">
        <f>+C61</f>
        <v>2121216</v>
      </c>
      <c r="I7" s="652">
        <f>+E61</f>
        <v>664013</v>
      </c>
    </row>
    <row r="8" spans="1:9">
      <c r="A8" s="353" t="s">
        <v>765</v>
      </c>
      <c r="B8" s="336"/>
      <c r="C8" s="337">
        <v>0</v>
      </c>
      <c r="D8" s="340"/>
      <c r="E8" s="354">
        <v>0</v>
      </c>
      <c r="F8" s="645"/>
      <c r="G8" s="257" t="s">
        <v>1242</v>
      </c>
      <c r="H8" s="645">
        <f>+H5+H6-H7</f>
        <v>977049</v>
      </c>
      <c r="I8" s="652">
        <f>+I5+I6-I7</f>
        <v>227266</v>
      </c>
    </row>
    <row r="9" spans="1:9">
      <c r="A9" s="353" t="s">
        <v>766</v>
      </c>
      <c r="B9" s="336"/>
      <c r="C9" s="337">
        <v>0</v>
      </c>
      <c r="D9" s="340"/>
      <c r="E9" s="354">
        <v>0</v>
      </c>
      <c r="F9" s="645"/>
      <c r="G9" s="257" t="s">
        <v>1243</v>
      </c>
      <c r="H9" s="645">
        <f>+C65</f>
        <v>235225</v>
      </c>
      <c r="I9" s="652">
        <f>+E65</f>
        <v>163222</v>
      </c>
    </row>
    <row r="10" spans="1:9" ht="15.75" thickBot="1">
      <c r="A10" s="353" t="s">
        <v>767</v>
      </c>
      <c r="B10" s="336"/>
      <c r="C10" s="337">
        <v>0</v>
      </c>
      <c r="D10" s="340"/>
      <c r="E10" s="354">
        <v>0</v>
      </c>
      <c r="F10" s="645"/>
      <c r="G10" s="259" t="s">
        <v>841</v>
      </c>
      <c r="H10" s="653">
        <f>+C67</f>
        <v>2496</v>
      </c>
      <c r="I10" s="654">
        <f>+E67</f>
        <v>417.54402149289342</v>
      </c>
    </row>
    <row r="11" spans="1:9">
      <c r="A11" s="353" t="s">
        <v>768</v>
      </c>
      <c r="B11" s="336"/>
      <c r="C11" s="337">
        <v>0</v>
      </c>
      <c r="D11" s="340"/>
      <c r="E11" s="354">
        <v>0</v>
      </c>
      <c r="F11" s="645"/>
    </row>
    <row r="12" spans="1:9">
      <c r="A12" s="353" t="s">
        <v>769</v>
      </c>
      <c r="B12" s="336"/>
      <c r="C12" s="337">
        <v>0</v>
      </c>
      <c r="D12" s="340"/>
      <c r="E12" s="354">
        <v>0</v>
      </c>
      <c r="F12" s="645"/>
    </row>
    <row r="13" spans="1:9">
      <c r="A13" s="353" t="s">
        <v>770</v>
      </c>
      <c r="B13" s="336"/>
      <c r="C13" s="337">
        <v>37000</v>
      </c>
      <c r="D13" s="340"/>
      <c r="E13" s="354">
        <v>0</v>
      </c>
      <c r="F13" s="645"/>
    </row>
    <row r="14" spans="1:9">
      <c r="A14" s="353" t="s">
        <v>771</v>
      </c>
      <c r="B14" s="336">
        <v>2296946</v>
      </c>
      <c r="C14" s="337">
        <v>2989636</v>
      </c>
      <c r="D14" s="340">
        <v>826093</v>
      </c>
      <c r="E14" s="354">
        <v>838829</v>
      </c>
      <c r="F14" s="645"/>
    </row>
    <row r="15" spans="1:9">
      <c r="A15" s="353" t="s">
        <v>772</v>
      </c>
      <c r="B15" s="336">
        <v>13000</v>
      </c>
      <c r="C15" s="337">
        <v>0</v>
      </c>
      <c r="D15" s="340">
        <v>1</v>
      </c>
      <c r="E15" s="354">
        <v>0</v>
      </c>
      <c r="F15" s="645"/>
    </row>
    <row r="16" spans="1:9">
      <c r="A16" s="353" t="s">
        <v>773</v>
      </c>
      <c r="B16" s="336"/>
      <c r="C16" s="337">
        <v>0</v>
      </c>
      <c r="D16" s="340">
        <v>5001</v>
      </c>
      <c r="E16" s="354">
        <v>0</v>
      </c>
      <c r="F16" s="645"/>
    </row>
    <row r="17" spans="1:10">
      <c r="A17" s="353" t="s">
        <v>774</v>
      </c>
      <c r="B17" s="336"/>
      <c r="C17" s="337">
        <v>0</v>
      </c>
      <c r="D17" s="340"/>
      <c r="E17" s="354">
        <v>0</v>
      </c>
      <c r="F17" s="645"/>
    </row>
    <row r="18" spans="1:10">
      <c r="A18" s="353" t="s">
        <v>775</v>
      </c>
      <c r="B18" s="336"/>
      <c r="C18" s="337">
        <v>2000</v>
      </c>
      <c r="D18" s="340"/>
      <c r="E18" s="354">
        <v>27670</v>
      </c>
      <c r="F18" s="645"/>
    </row>
    <row r="19" spans="1:10">
      <c r="A19" s="353" t="s">
        <v>776</v>
      </c>
      <c r="B19" s="336">
        <v>26168</v>
      </c>
      <c r="C19" s="337">
        <v>118842</v>
      </c>
      <c r="D19" s="340">
        <v>34167</v>
      </c>
      <c r="E19" s="354">
        <v>2052</v>
      </c>
      <c r="F19" s="645"/>
    </row>
    <row r="20" spans="1:10">
      <c r="A20" s="353" t="s">
        <v>777</v>
      </c>
      <c r="B20" s="336"/>
      <c r="C20" s="337">
        <v>120842</v>
      </c>
      <c r="D20" s="340"/>
      <c r="E20" s="354">
        <v>29722</v>
      </c>
      <c r="F20" s="645"/>
    </row>
    <row r="21" spans="1:10">
      <c r="A21" s="355" t="s">
        <v>778</v>
      </c>
      <c r="B21" s="338">
        <v>2377841</v>
      </c>
      <c r="C21" s="339">
        <v>3110478</v>
      </c>
      <c r="D21" s="341">
        <v>865158</v>
      </c>
      <c r="E21" s="356">
        <v>868551</v>
      </c>
      <c r="F21" s="646"/>
      <c r="J21" s="643"/>
    </row>
    <row r="22" spans="1:10">
      <c r="A22" s="355" t="s">
        <v>779</v>
      </c>
      <c r="B22" s="338">
        <v>351281</v>
      </c>
      <c r="C22" s="339">
        <v>367947</v>
      </c>
      <c r="D22" s="341">
        <v>186392</v>
      </c>
      <c r="E22" s="356">
        <v>319204</v>
      </c>
      <c r="F22" s="646"/>
      <c r="J22" s="642"/>
    </row>
    <row r="23" spans="1:10">
      <c r="A23" s="355" t="s">
        <v>780</v>
      </c>
      <c r="B23" s="338">
        <v>351948</v>
      </c>
      <c r="C23" s="339">
        <v>355734</v>
      </c>
      <c r="D23" s="341">
        <v>282782</v>
      </c>
      <c r="E23" s="356">
        <v>341932</v>
      </c>
      <c r="F23" s="646"/>
      <c r="J23" s="642"/>
    </row>
    <row r="24" spans="1:10">
      <c r="A24" s="355" t="s">
        <v>781</v>
      </c>
      <c r="B24" s="338">
        <v>667</v>
      </c>
      <c r="C24" s="339">
        <v>-12213</v>
      </c>
      <c r="D24" s="341">
        <v>96390</v>
      </c>
      <c r="E24" s="356">
        <v>22728</v>
      </c>
      <c r="F24" s="646"/>
      <c r="J24" s="642"/>
    </row>
    <row r="25" spans="1:10">
      <c r="A25" s="353" t="s">
        <v>782</v>
      </c>
      <c r="B25" s="336"/>
      <c r="C25" s="337">
        <v>1482660</v>
      </c>
      <c r="D25" s="340"/>
      <c r="E25" s="354">
        <v>172246</v>
      </c>
      <c r="F25" s="645"/>
      <c r="J25" s="642"/>
    </row>
    <row r="26" spans="1:10">
      <c r="A26" s="353" t="s">
        <v>783</v>
      </c>
      <c r="B26" s="336"/>
      <c r="C26" s="337">
        <v>10000</v>
      </c>
      <c r="D26" s="340"/>
      <c r="E26" s="354">
        <v>63767</v>
      </c>
      <c r="F26" s="645"/>
      <c r="J26" s="642"/>
    </row>
    <row r="27" spans="1:10">
      <c r="A27" s="353" t="s">
        <v>784</v>
      </c>
      <c r="B27" s="336"/>
      <c r="C27" s="337">
        <v>9000</v>
      </c>
      <c r="D27" s="340"/>
      <c r="E27" s="354">
        <v>26410</v>
      </c>
      <c r="F27" s="645"/>
      <c r="J27" s="642"/>
    </row>
    <row r="28" spans="1:10">
      <c r="A28" s="353" t="s">
        <v>785</v>
      </c>
      <c r="B28" s="336"/>
      <c r="C28" s="337">
        <v>28000</v>
      </c>
      <c r="D28" s="340"/>
      <c r="E28" s="354">
        <v>27160</v>
      </c>
      <c r="F28" s="645"/>
    </row>
    <row r="29" spans="1:10">
      <c r="A29" s="353" t="s">
        <v>786</v>
      </c>
      <c r="B29" s="336"/>
      <c r="C29" s="337">
        <v>0</v>
      </c>
      <c r="D29" s="340"/>
      <c r="E29" s="354">
        <v>11922</v>
      </c>
      <c r="F29" s="645"/>
    </row>
    <row r="30" spans="1:10">
      <c r="A30" s="353" t="s">
        <v>787</v>
      </c>
      <c r="B30" s="336"/>
      <c r="C30" s="337">
        <v>0</v>
      </c>
      <c r="D30" s="340"/>
      <c r="E30" s="354">
        <v>9135</v>
      </c>
      <c r="F30" s="645"/>
    </row>
    <row r="31" spans="1:10">
      <c r="A31" s="353" t="s">
        <v>788</v>
      </c>
      <c r="B31" s="336"/>
      <c r="C31" s="337">
        <v>0</v>
      </c>
      <c r="D31" s="340"/>
      <c r="E31" s="354">
        <v>14432</v>
      </c>
      <c r="F31" s="645"/>
    </row>
    <row r="32" spans="1:10">
      <c r="A32" s="353" t="s">
        <v>789</v>
      </c>
      <c r="B32" s="336"/>
      <c r="C32" s="337">
        <v>0</v>
      </c>
      <c r="D32" s="340"/>
      <c r="E32" s="354">
        <v>5222</v>
      </c>
      <c r="F32" s="645"/>
    </row>
    <row r="33" spans="1:6">
      <c r="A33" s="353" t="s">
        <v>790</v>
      </c>
      <c r="B33" s="336"/>
      <c r="C33" s="337">
        <v>0</v>
      </c>
      <c r="D33" s="340"/>
      <c r="E33" s="354">
        <v>38771</v>
      </c>
      <c r="F33" s="645"/>
    </row>
    <row r="34" spans="1:6">
      <c r="A34" s="353" t="s">
        <v>791</v>
      </c>
      <c r="B34" s="336"/>
      <c r="C34" s="337">
        <v>0</v>
      </c>
      <c r="D34" s="340"/>
      <c r="E34" s="354">
        <v>95643</v>
      </c>
      <c r="F34" s="645"/>
    </row>
    <row r="35" spans="1:6">
      <c r="A35" s="355" t="s">
        <v>792</v>
      </c>
      <c r="B35" s="338">
        <v>767676</v>
      </c>
      <c r="C35" s="339">
        <v>1529660</v>
      </c>
      <c r="D35" s="341">
        <v>519759</v>
      </c>
      <c r="E35" s="356">
        <v>464708</v>
      </c>
      <c r="F35" s="646"/>
    </row>
    <row r="36" spans="1:6">
      <c r="A36" s="353" t="s">
        <v>793</v>
      </c>
      <c r="B36" s="336"/>
      <c r="C36" s="337">
        <v>0</v>
      </c>
      <c r="D36" s="340"/>
      <c r="E36" s="354">
        <v>2598</v>
      </c>
      <c r="F36" s="645"/>
    </row>
    <row r="37" spans="1:6">
      <c r="A37" s="353" t="s">
        <v>794</v>
      </c>
      <c r="B37" s="336"/>
      <c r="C37" s="337">
        <v>0</v>
      </c>
      <c r="D37" s="340"/>
      <c r="E37" s="354">
        <v>6172</v>
      </c>
      <c r="F37" s="645"/>
    </row>
    <row r="38" spans="1:6">
      <c r="A38" s="353" t="s">
        <v>795</v>
      </c>
      <c r="B38" s="336"/>
      <c r="C38" s="337">
        <v>3686</v>
      </c>
      <c r="D38" s="340"/>
      <c r="E38" s="354">
        <v>2636</v>
      </c>
      <c r="F38" s="645"/>
    </row>
    <row r="39" spans="1:6">
      <c r="A39" s="353" t="s">
        <v>796</v>
      </c>
      <c r="B39" s="336"/>
      <c r="C39" s="337">
        <v>0</v>
      </c>
      <c r="D39" s="340"/>
      <c r="E39" s="354">
        <v>0</v>
      </c>
      <c r="F39" s="645"/>
    </row>
    <row r="40" spans="1:6">
      <c r="A40" s="353" t="s">
        <v>797</v>
      </c>
      <c r="B40" s="336"/>
      <c r="C40" s="337">
        <v>0</v>
      </c>
      <c r="D40" s="340"/>
      <c r="E40" s="354">
        <v>0</v>
      </c>
      <c r="F40" s="645"/>
    </row>
    <row r="41" spans="1:6">
      <c r="A41" s="353" t="s">
        <v>798</v>
      </c>
      <c r="B41" s="336">
        <v>64234</v>
      </c>
      <c r="C41" s="337">
        <v>100247</v>
      </c>
      <c r="D41" s="340">
        <v>55624</v>
      </c>
      <c r="E41" s="354">
        <v>52329</v>
      </c>
      <c r="F41" s="645"/>
    </row>
    <row r="42" spans="1:6">
      <c r="A42" s="353" t="s">
        <v>799</v>
      </c>
      <c r="B42" s="336">
        <v>62043</v>
      </c>
      <c r="C42" s="337">
        <v>65346</v>
      </c>
      <c r="D42" s="340">
        <v>3774</v>
      </c>
      <c r="E42" s="354">
        <v>3385</v>
      </c>
      <c r="F42" s="645"/>
    </row>
    <row r="43" spans="1:6">
      <c r="A43" s="353" t="s">
        <v>800</v>
      </c>
      <c r="B43" s="336"/>
      <c r="C43" s="337">
        <v>2000</v>
      </c>
      <c r="D43" s="340"/>
      <c r="E43" s="354">
        <v>1650</v>
      </c>
      <c r="F43" s="645"/>
    </row>
    <row r="44" spans="1:6">
      <c r="A44" s="353" t="s">
        <v>801</v>
      </c>
      <c r="B44" s="336"/>
      <c r="C44" s="337">
        <v>12713</v>
      </c>
      <c r="D44" s="340"/>
      <c r="E44" s="354">
        <v>9241</v>
      </c>
      <c r="F44" s="645"/>
    </row>
    <row r="45" spans="1:6">
      <c r="A45" s="353" t="s">
        <v>802</v>
      </c>
      <c r="B45" s="336"/>
      <c r="C45" s="337">
        <v>0</v>
      </c>
      <c r="D45" s="340"/>
      <c r="E45" s="354">
        <v>0</v>
      </c>
      <c r="F45" s="645"/>
    </row>
    <row r="46" spans="1:6">
      <c r="A46" s="353" t="s">
        <v>803</v>
      </c>
      <c r="B46" s="336"/>
      <c r="C46" s="337">
        <v>20841</v>
      </c>
      <c r="D46" s="340"/>
      <c r="E46" s="354">
        <v>9843</v>
      </c>
      <c r="F46" s="645"/>
    </row>
    <row r="47" spans="1:6">
      <c r="A47" s="353" t="s">
        <v>804</v>
      </c>
      <c r="B47" s="336"/>
      <c r="C47" s="337">
        <v>11000</v>
      </c>
      <c r="D47" s="340"/>
      <c r="E47" s="354">
        <v>6370</v>
      </c>
      <c r="F47" s="645"/>
    </row>
    <row r="48" spans="1:6">
      <c r="A48" s="353" t="s">
        <v>805</v>
      </c>
      <c r="B48" s="336"/>
      <c r="C48" s="337">
        <v>17027</v>
      </c>
      <c r="D48" s="340"/>
      <c r="E48" s="354">
        <v>11672</v>
      </c>
      <c r="F48" s="645"/>
    </row>
    <row r="49" spans="1:6">
      <c r="A49" s="353" t="s">
        <v>806</v>
      </c>
      <c r="B49" s="336"/>
      <c r="C49" s="337">
        <v>10887</v>
      </c>
      <c r="D49" s="340"/>
      <c r="E49" s="354">
        <v>3871</v>
      </c>
      <c r="F49" s="645"/>
    </row>
    <row r="50" spans="1:6">
      <c r="A50" s="353" t="s">
        <v>807</v>
      </c>
      <c r="B50" s="336"/>
      <c r="C50" s="337">
        <v>8955</v>
      </c>
      <c r="D50" s="340"/>
      <c r="E50" s="354">
        <v>3366</v>
      </c>
      <c r="F50" s="645"/>
    </row>
    <row r="51" spans="1:6">
      <c r="A51" s="353" t="s">
        <v>808</v>
      </c>
      <c r="B51" s="336"/>
      <c r="C51" s="337">
        <v>11123</v>
      </c>
      <c r="D51" s="340"/>
      <c r="E51" s="354">
        <v>25974</v>
      </c>
      <c r="F51" s="645"/>
    </row>
    <row r="52" spans="1:6">
      <c r="A52" s="353" t="s">
        <v>809</v>
      </c>
      <c r="B52" s="336"/>
      <c r="C52" s="337">
        <v>0</v>
      </c>
      <c r="D52" s="340"/>
      <c r="E52" s="354">
        <v>0</v>
      </c>
      <c r="F52" s="645"/>
    </row>
    <row r="53" spans="1:6">
      <c r="A53" s="353" t="s">
        <v>810</v>
      </c>
      <c r="B53" s="336"/>
      <c r="C53" s="337">
        <v>23690</v>
      </c>
      <c r="D53" s="340"/>
      <c r="E53" s="354">
        <v>40831</v>
      </c>
      <c r="F53" s="645"/>
    </row>
    <row r="54" spans="1:6">
      <c r="A54" s="353" t="s">
        <v>811</v>
      </c>
      <c r="B54" s="336"/>
      <c r="C54" s="337">
        <v>1504</v>
      </c>
      <c r="D54" s="340"/>
      <c r="E54" s="354">
        <v>1519</v>
      </c>
      <c r="F54" s="645"/>
    </row>
    <row r="55" spans="1:6">
      <c r="A55" s="353" t="s">
        <v>812</v>
      </c>
      <c r="B55" s="336"/>
      <c r="C55" s="337">
        <v>11240</v>
      </c>
      <c r="D55" s="340"/>
      <c r="E55" s="354">
        <v>2011</v>
      </c>
      <c r="F55" s="645"/>
    </row>
    <row r="56" spans="1:6">
      <c r="A56" s="353" t="s">
        <v>813</v>
      </c>
      <c r="B56" s="336"/>
      <c r="C56" s="337">
        <v>276482</v>
      </c>
      <c r="D56" s="340"/>
      <c r="E56" s="354">
        <v>12246</v>
      </c>
      <c r="F56" s="645"/>
    </row>
    <row r="57" spans="1:6">
      <c r="A57" s="353" t="s">
        <v>814</v>
      </c>
      <c r="B57" s="336"/>
      <c r="C57" s="337">
        <v>12990</v>
      </c>
      <c r="D57" s="340"/>
      <c r="E57" s="354">
        <v>2732</v>
      </c>
      <c r="F57" s="645"/>
    </row>
    <row r="58" spans="1:6">
      <c r="A58" s="353" t="s">
        <v>815</v>
      </c>
      <c r="B58" s="336"/>
      <c r="C58" s="337">
        <v>0</v>
      </c>
      <c r="D58" s="340"/>
      <c r="E58" s="354">
        <v>0</v>
      </c>
      <c r="F58" s="645"/>
    </row>
    <row r="59" spans="1:6">
      <c r="A59" s="353" t="s">
        <v>816</v>
      </c>
      <c r="B59" s="336"/>
      <c r="C59" s="337">
        <v>291297</v>
      </c>
      <c r="D59" s="340"/>
      <c r="E59" s="354">
        <v>15837</v>
      </c>
      <c r="F59" s="645"/>
    </row>
    <row r="60" spans="1:6">
      <c r="A60" s="353" t="s">
        <v>817</v>
      </c>
      <c r="B60" s="336">
        <v>648212</v>
      </c>
      <c r="C60" s="337">
        <v>881028</v>
      </c>
      <c r="D60" s="340">
        <v>104854</v>
      </c>
      <c r="E60" s="354">
        <v>214283</v>
      </c>
      <c r="F60" s="645"/>
    </row>
    <row r="61" spans="1:6">
      <c r="A61" s="355" t="s">
        <v>818</v>
      </c>
      <c r="B61" s="338">
        <v>1542165</v>
      </c>
      <c r="C61" s="339">
        <v>2121216</v>
      </c>
      <c r="D61" s="341">
        <v>684011</v>
      </c>
      <c r="E61" s="356">
        <v>664013</v>
      </c>
      <c r="F61" s="646"/>
    </row>
    <row r="62" spans="1:6">
      <c r="A62" s="1468" t="s">
        <v>819</v>
      </c>
      <c r="B62" s="1465">
        <v>836343</v>
      </c>
      <c r="C62" s="1466">
        <v>977049</v>
      </c>
      <c r="D62" s="1465">
        <v>277537</v>
      </c>
      <c r="E62" s="1467">
        <v>227266</v>
      </c>
      <c r="F62" s="646"/>
    </row>
    <row r="63" spans="1:6">
      <c r="A63" s="355" t="s">
        <v>820</v>
      </c>
      <c r="B63" s="338">
        <v>286560</v>
      </c>
      <c r="C63" s="339">
        <v>235225</v>
      </c>
      <c r="D63" s="341">
        <v>125145</v>
      </c>
      <c r="E63" s="356">
        <v>163222</v>
      </c>
      <c r="F63" s="646"/>
    </row>
    <row r="64" spans="1:6">
      <c r="A64" s="355" t="s">
        <v>821</v>
      </c>
      <c r="B64" s="338"/>
      <c r="C64" s="339">
        <v>0</v>
      </c>
      <c r="D64" s="341"/>
      <c r="E64" s="356">
        <v>0</v>
      </c>
      <c r="F64" s="646"/>
    </row>
    <row r="65" spans="1:6">
      <c r="A65" s="355" t="s">
        <v>822</v>
      </c>
      <c r="B65" s="338">
        <v>286560</v>
      </c>
      <c r="C65" s="339">
        <v>235225</v>
      </c>
      <c r="D65" s="341">
        <v>125145</v>
      </c>
      <c r="E65" s="356">
        <v>163222</v>
      </c>
      <c r="F65" s="646"/>
    </row>
    <row r="66" spans="1:6">
      <c r="A66" s="355" t="s">
        <v>823</v>
      </c>
      <c r="B66" s="338">
        <v>227.82179304290571</v>
      </c>
      <c r="C66" s="339">
        <v>181.34424002484084</v>
      </c>
      <c r="D66" s="341">
        <v>1356.7048929663608</v>
      </c>
      <c r="E66" s="356">
        <v>1190.9497538966366</v>
      </c>
      <c r="F66" s="646"/>
    </row>
    <row r="67" spans="1:6">
      <c r="A67" s="355" t="s">
        <v>824</v>
      </c>
      <c r="B67" s="338">
        <v>2302</v>
      </c>
      <c r="C67" s="339">
        <v>2496</v>
      </c>
      <c r="D67" s="341">
        <v>377</v>
      </c>
      <c r="E67" s="356">
        <v>417.54402149289342</v>
      </c>
      <c r="F67" s="646"/>
    </row>
    <row r="68" spans="1:6">
      <c r="A68" s="355" t="s">
        <v>825</v>
      </c>
      <c r="B68" s="338"/>
      <c r="C68" s="339">
        <v>1961</v>
      </c>
      <c r="D68" s="341"/>
      <c r="E68" s="356">
        <v>388.18081504502538</v>
      </c>
      <c r="F68" s="646"/>
    </row>
    <row r="69" spans="1:6">
      <c r="A69" s="355" t="s">
        <v>826</v>
      </c>
      <c r="B69" s="338"/>
      <c r="C69" s="339">
        <v>535</v>
      </c>
      <c r="D69" s="341"/>
      <c r="E69" s="356">
        <v>29.363206447868031</v>
      </c>
      <c r="F69" s="646"/>
    </row>
    <row r="70" spans="1:6">
      <c r="A70" s="353" t="s">
        <v>827</v>
      </c>
      <c r="B70" s="336">
        <v>3118017</v>
      </c>
      <c r="C70" s="337">
        <v>1618247</v>
      </c>
      <c r="D70" s="340">
        <v>124760</v>
      </c>
      <c r="E70" s="354">
        <v>193866</v>
      </c>
      <c r="F70" s="645"/>
    </row>
    <row r="71" spans="1:6">
      <c r="A71" s="353" t="s">
        <v>828</v>
      </c>
      <c r="B71" s="336">
        <v>155493</v>
      </c>
      <c r="C71" s="337">
        <v>577657</v>
      </c>
      <c r="D71" s="340">
        <v>41726</v>
      </c>
      <c r="E71" s="354">
        <v>14782</v>
      </c>
      <c r="F71" s="645"/>
    </row>
    <row r="72" spans="1:6">
      <c r="A72" s="353" t="s">
        <v>829</v>
      </c>
      <c r="B72" s="336"/>
      <c r="C72" s="337">
        <v>0</v>
      </c>
      <c r="D72" s="340">
        <v>1</v>
      </c>
      <c r="E72" s="354">
        <v>0</v>
      </c>
      <c r="F72" s="645"/>
    </row>
    <row r="73" spans="1:6">
      <c r="A73" s="353" t="s">
        <v>830</v>
      </c>
      <c r="B73" s="336"/>
      <c r="C73" s="337">
        <v>0</v>
      </c>
      <c r="D73" s="340">
        <v>2</v>
      </c>
      <c r="E73" s="354">
        <v>0</v>
      </c>
      <c r="F73" s="645"/>
    </row>
    <row r="74" spans="1:6">
      <c r="A74" s="353" t="s">
        <v>831</v>
      </c>
      <c r="B74" s="336"/>
      <c r="C74" s="337">
        <v>0</v>
      </c>
      <c r="D74" s="340"/>
      <c r="E74" s="354">
        <v>0</v>
      </c>
      <c r="F74" s="645"/>
    </row>
    <row r="75" spans="1:6">
      <c r="A75" s="353" t="s">
        <v>832</v>
      </c>
      <c r="B75" s="336"/>
      <c r="C75" s="337">
        <v>120182</v>
      </c>
      <c r="D75" s="592">
        <v>126</v>
      </c>
      <c r="E75" s="354">
        <v>6416</v>
      </c>
      <c r="F75" s="645"/>
    </row>
    <row r="76" spans="1:6">
      <c r="A76" s="353" t="s">
        <v>833</v>
      </c>
      <c r="B76" s="336">
        <v>223226</v>
      </c>
      <c r="C76" s="337"/>
      <c r="D76" s="340">
        <v>10735</v>
      </c>
      <c r="E76" s="354"/>
      <c r="F76" s="645"/>
    </row>
    <row r="77" spans="1:6">
      <c r="A77" s="353" t="s">
        <v>834</v>
      </c>
      <c r="B77" s="336"/>
      <c r="C77" s="337">
        <v>9920</v>
      </c>
      <c r="D77" s="340">
        <v>1</v>
      </c>
      <c r="E77" s="354">
        <v>3344</v>
      </c>
      <c r="F77" s="645"/>
    </row>
    <row r="78" spans="1:6" ht="15.75" thickBot="1">
      <c r="A78" s="353" t="s">
        <v>835</v>
      </c>
      <c r="B78" s="336">
        <v>3050284</v>
      </c>
      <c r="C78" s="337">
        <v>1809160</v>
      </c>
      <c r="D78" s="340">
        <v>145111</v>
      </c>
      <c r="E78" s="354">
        <v>193334</v>
      </c>
      <c r="F78" s="645"/>
    </row>
    <row r="79" spans="1:6" ht="15.75" thickBot="1">
      <c r="A79" s="357" t="s">
        <v>836</v>
      </c>
      <c r="B79" s="358">
        <v>2</v>
      </c>
      <c r="C79" s="359">
        <v>2</v>
      </c>
      <c r="D79" s="360">
        <v>3</v>
      </c>
      <c r="E79" s="361">
        <v>4</v>
      </c>
      <c r="F79" s="645"/>
    </row>
    <row r="80" spans="1:6" ht="29.1" customHeight="1" thickBot="1">
      <c r="A80" s="1761" t="s">
        <v>844</v>
      </c>
      <c r="B80" s="1717"/>
      <c r="C80" s="1717"/>
      <c r="D80" s="1717"/>
      <c r="E80" s="1678"/>
      <c r="F80" s="647"/>
    </row>
  </sheetData>
  <mergeCells count="1">
    <mergeCell ref="A80:E80"/>
  </mergeCells>
  <pageMargins left="0.75" right="0.75" top="1" bottom="1" header="0.5" footer="0.5"/>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07ABC"/>
  </sheetPr>
  <dimension ref="A1:Y252"/>
  <sheetViews>
    <sheetView workbookViewId="0"/>
  </sheetViews>
  <sheetFormatPr defaultColWidth="10.85546875" defaultRowHeight="12.75"/>
  <cols>
    <col min="1" max="1" width="33.140625" style="757" customWidth="1"/>
    <col min="2" max="2" width="16.28515625" style="757" customWidth="1"/>
    <col min="3" max="3" width="20.85546875" style="757" bestFit="1" customWidth="1"/>
    <col min="4" max="4" width="14.7109375" style="757" bestFit="1" customWidth="1"/>
    <col min="5" max="5" width="15" style="757" customWidth="1"/>
    <col min="6" max="6" width="11.140625" style="757" bestFit="1" customWidth="1"/>
    <col min="7" max="7" width="22.140625" style="757" customWidth="1"/>
    <col min="8" max="8" width="21.85546875" style="757" bestFit="1" customWidth="1"/>
    <col min="9" max="9" width="11.140625" style="757" customWidth="1"/>
    <col min="10" max="15" width="11.140625" style="757" bestFit="1" customWidth="1"/>
    <col min="16" max="16384" width="10.85546875" style="757"/>
  </cols>
  <sheetData>
    <row r="1" spans="1:14" ht="24.75">
      <c r="A1" s="1262" t="s">
        <v>1328</v>
      </c>
      <c r="B1" s="1319"/>
    </row>
    <row r="3" spans="1:14">
      <c r="A3" s="757" t="s">
        <v>272</v>
      </c>
      <c r="B3" s="757" t="s">
        <v>273</v>
      </c>
    </row>
    <row r="4" spans="1:14">
      <c r="B4" s="757" t="s">
        <v>274</v>
      </c>
    </row>
    <row r="7" spans="1:14" ht="13.5" thickBot="1">
      <c r="A7" s="910" t="s">
        <v>1339</v>
      </c>
    </row>
    <row r="8" spans="1:14">
      <c r="A8" s="781" t="s">
        <v>129</v>
      </c>
      <c r="B8" s="782">
        <f>+D61+F61</f>
        <v>206127</v>
      </c>
      <c r="C8" s="783">
        <f>+B8/B$11</f>
        <v>0.26878125427861704</v>
      </c>
    </row>
    <row r="9" spans="1:14">
      <c r="A9" s="784" t="s">
        <v>130</v>
      </c>
      <c r="B9" s="785">
        <f>+H61+J61</f>
        <v>459958</v>
      </c>
      <c r="C9" s="786">
        <f>+B9/B$11</f>
        <v>0.59976659125434384</v>
      </c>
    </row>
    <row r="10" spans="1:14" ht="13.5" thickBot="1">
      <c r="A10" s="787" t="s">
        <v>131</v>
      </c>
      <c r="B10" s="788">
        <f>+L61+N61</f>
        <v>100810</v>
      </c>
      <c r="C10" s="789">
        <f>+B10/B$11</f>
        <v>0.13145215446703917</v>
      </c>
    </row>
    <row r="11" spans="1:14" ht="13.5" thickBot="1">
      <c r="A11" s="790" t="s">
        <v>33</v>
      </c>
      <c r="B11" s="791">
        <f>+SUM(B8:B10)</f>
        <v>766895</v>
      </c>
      <c r="C11" s="792">
        <f>+B11/B$11</f>
        <v>1</v>
      </c>
    </row>
    <row r="15" spans="1:14" ht="13.5" thickBot="1">
      <c r="A15" s="910" t="s">
        <v>1337</v>
      </c>
    </row>
    <row r="16" spans="1:14" ht="39" thickBot="1">
      <c r="A16" s="902" t="s">
        <v>275</v>
      </c>
      <c r="B16" s="927" t="s">
        <v>133</v>
      </c>
      <c r="C16" s="900" t="s">
        <v>1338</v>
      </c>
      <c r="D16" s="928" t="s">
        <v>1354</v>
      </c>
      <c r="E16" s="901" t="s">
        <v>277</v>
      </c>
      <c r="F16" s="826"/>
      <c r="G16" s="823"/>
      <c r="K16" s="823"/>
      <c r="M16" s="821"/>
      <c r="N16" s="824"/>
    </row>
    <row r="17" spans="1:14" ht="13.5" customHeight="1" thickBot="1">
      <c r="A17" s="899" t="s">
        <v>276</v>
      </c>
      <c r="B17" s="934">
        <f>+N70*K70</f>
        <v>59889663848</v>
      </c>
      <c r="C17" s="935">
        <v>766892</v>
      </c>
      <c r="D17" s="939">
        <f>+C17-B24</f>
        <v>690991.41200000001</v>
      </c>
      <c r="E17" s="897">
        <f>+B17/D17</f>
        <v>86672.081313797855</v>
      </c>
      <c r="F17" s="1762" t="s">
        <v>1312</v>
      </c>
      <c r="G17" s="1763"/>
      <c r="H17" s="1763"/>
      <c r="K17" s="823"/>
      <c r="M17" s="821"/>
      <c r="N17" s="824"/>
    </row>
    <row r="18" spans="1:14">
      <c r="A18" s="932" t="s">
        <v>105</v>
      </c>
      <c r="B18" s="936">
        <f>+N71*K71</f>
        <v>18187085696</v>
      </c>
      <c r="C18" s="896">
        <v>206128</v>
      </c>
      <c r="D18" s="939">
        <f>+C18-B24</f>
        <v>130227.41199999998</v>
      </c>
      <c r="E18" s="897">
        <f>+B18/D18</f>
        <v>139656.35511515811</v>
      </c>
      <c r="F18" s="1763"/>
      <c r="G18" s="1763"/>
      <c r="H18" s="1763"/>
      <c r="K18" s="823"/>
      <c r="M18" s="821"/>
      <c r="N18" s="824"/>
    </row>
    <row r="19" spans="1:14">
      <c r="A19" s="933" t="s">
        <v>106</v>
      </c>
      <c r="B19" s="929">
        <f>+N72*K72</f>
        <v>39269203456</v>
      </c>
      <c r="C19" s="828">
        <v>459956</v>
      </c>
      <c r="D19" s="785">
        <f>+C19</f>
        <v>459956</v>
      </c>
      <c r="E19" s="926">
        <f>+B19/D19</f>
        <v>85376</v>
      </c>
      <c r="F19" s="1763"/>
      <c r="G19" s="1763"/>
      <c r="H19" s="1763"/>
      <c r="K19" s="823"/>
      <c r="M19" s="821"/>
      <c r="N19" s="824"/>
    </row>
    <row r="20" spans="1:14" ht="15" customHeight="1" thickBot="1">
      <c r="A20" s="937" t="s">
        <v>1329</v>
      </c>
      <c r="B20" s="930">
        <f>+N73*K73</f>
        <v>2433202696</v>
      </c>
      <c r="C20" s="898">
        <v>100808</v>
      </c>
      <c r="D20" s="788">
        <f>+C20</f>
        <v>100808</v>
      </c>
      <c r="E20" s="931">
        <f>+B20/D20</f>
        <v>24137</v>
      </c>
      <c r="F20" s="1763"/>
      <c r="G20" s="1763"/>
      <c r="H20" s="1763"/>
      <c r="K20" s="823"/>
      <c r="M20" s="821"/>
      <c r="N20" s="824"/>
    </row>
    <row r="21" spans="1:14" ht="15" customHeight="1">
      <c r="A21" s="908"/>
      <c r="B21" s="827"/>
      <c r="C21" s="828"/>
      <c r="D21" s="911"/>
      <c r="E21" s="923"/>
      <c r="F21" s="923"/>
      <c r="G21" s="923"/>
      <c r="K21" s="823"/>
      <c r="M21" s="909"/>
      <c r="N21" s="824"/>
    </row>
    <row r="22" spans="1:14" ht="15" customHeight="1">
      <c r="A22" s="908"/>
      <c r="B22" s="827"/>
      <c r="C22" s="828"/>
      <c r="D22" s="911"/>
      <c r="E22" s="923"/>
      <c r="F22" s="923"/>
      <c r="G22" s="923"/>
      <c r="K22" s="823"/>
      <c r="M22" s="909"/>
      <c r="N22" s="824"/>
    </row>
    <row r="23" spans="1:14" ht="13.5" thickBot="1">
      <c r="A23" s="912" t="s">
        <v>1340</v>
      </c>
      <c r="B23" s="913"/>
      <c r="C23" s="829"/>
      <c r="D23" s="829"/>
      <c r="E23" s="829"/>
      <c r="F23" s="829"/>
      <c r="K23" s="823"/>
      <c r="M23" s="821"/>
      <c r="N23" s="824"/>
    </row>
    <row r="24" spans="1:14">
      <c r="A24" s="903" t="s">
        <v>1351</v>
      </c>
      <c r="B24" s="921">
        <f>+Y80*C17</f>
        <v>75900.588000000018</v>
      </c>
      <c r="D24" s="823"/>
    </row>
    <row r="25" spans="1:14" ht="33" customHeight="1">
      <c r="A25" s="904" t="s">
        <v>1355</v>
      </c>
      <c r="B25" s="917">
        <f>+B24*E18</f>
        <v>10599999471.177311</v>
      </c>
      <c r="C25" s="1765" t="s">
        <v>1352</v>
      </c>
      <c r="D25" s="1765"/>
      <c r="E25" s="1765"/>
      <c r="F25" s="1765"/>
      <c r="G25" s="1765"/>
    </row>
    <row r="26" spans="1:14" ht="30.75" customHeight="1">
      <c r="A26" s="904" t="s">
        <v>1356</v>
      </c>
      <c r="B26" s="922">
        <f>+B25*0.8</f>
        <v>8479999576.9418488</v>
      </c>
      <c r="C26" s="1773" t="s">
        <v>1353</v>
      </c>
      <c r="D26" s="1773"/>
      <c r="E26" s="1773"/>
      <c r="F26" s="1773"/>
      <c r="G26" s="1773"/>
    </row>
    <row r="27" spans="1:14" ht="24.75" customHeight="1">
      <c r="A27" s="904" t="s">
        <v>1357</v>
      </c>
      <c r="B27" s="941">
        <f>+B26+B18</f>
        <v>26667085272.941849</v>
      </c>
      <c r="C27" s="1766" t="s">
        <v>1313</v>
      </c>
      <c r="D27" s="1766"/>
      <c r="E27" s="1766"/>
      <c r="F27" s="1766"/>
      <c r="G27" s="1766"/>
    </row>
    <row r="28" spans="1:14" ht="24.75" customHeight="1" thickBot="1">
      <c r="A28" s="914" t="s">
        <v>1358</v>
      </c>
      <c r="B28" s="942">
        <f>+B27/C18</f>
        <v>129371.48409212648</v>
      </c>
      <c r="C28" s="1764" t="s">
        <v>1359</v>
      </c>
      <c r="D28" s="1764"/>
      <c r="E28" s="1764"/>
      <c r="F28" s="1764"/>
      <c r="G28" s="1764"/>
    </row>
    <row r="29" spans="1:14" ht="18.75" customHeight="1">
      <c r="A29" s="904"/>
      <c r="B29" s="822"/>
      <c r="C29" s="909"/>
      <c r="D29" s="909"/>
      <c r="E29" s="909"/>
      <c r="F29" s="909"/>
      <c r="G29" s="909"/>
    </row>
    <row r="30" spans="1:14" ht="14.25" customHeight="1" thickBot="1">
      <c r="A30" s="916" t="s">
        <v>1341</v>
      </c>
      <c r="B30" s="822"/>
      <c r="C30" s="940"/>
      <c r="D30" s="909"/>
      <c r="E30" s="909"/>
      <c r="F30" s="909"/>
      <c r="G30" s="909"/>
    </row>
    <row r="31" spans="1:14" ht="14.25" customHeight="1">
      <c r="A31" s="915" t="s">
        <v>1342</v>
      </c>
      <c r="B31" s="920">
        <f>+'Protected Area Visitors'!H11</f>
        <v>15281.414675579526</v>
      </c>
      <c r="C31" s="1771" t="s">
        <v>1350</v>
      </c>
      <c r="D31" s="1772"/>
      <c r="E31" s="1772"/>
      <c r="F31" s="1772"/>
      <c r="G31" s="1772"/>
    </row>
    <row r="32" spans="1:14">
      <c r="A32" s="905" t="s">
        <v>1343</v>
      </c>
      <c r="B32" s="906">
        <f>+B31/C18</f>
        <v>7.4135559824863806E-2</v>
      </c>
      <c r="C32" s="1771"/>
      <c r="D32" s="1772"/>
      <c r="E32" s="1772"/>
      <c r="F32" s="1772"/>
      <c r="G32" s="1772"/>
    </row>
    <row r="33" spans="1:15" ht="27" customHeight="1" thickBot="1">
      <c r="A33" s="762" t="s">
        <v>1344</v>
      </c>
      <c r="B33" s="907">
        <f>+B32*B27</f>
        <v>1976979295.606925</v>
      </c>
      <c r="C33" s="1771"/>
      <c r="D33" s="1772"/>
      <c r="E33" s="1772"/>
      <c r="F33" s="1772"/>
      <c r="G33" s="1772"/>
    </row>
    <row r="37" spans="1:15" ht="13.5" thickBot="1">
      <c r="A37" s="758" t="s">
        <v>257</v>
      </c>
    </row>
    <row r="38" spans="1:15" ht="13.5" thickBot="1">
      <c r="A38" s="1783"/>
      <c r="B38" s="1786" t="s">
        <v>103</v>
      </c>
      <c r="C38" s="1787"/>
      <c r="D38" s="1787"/>
      <c r="E38" s="1787"/>
      <c r="F38" s="1787"/>
      <c r="G38" s="1787"/>
      <c r="H38" s="1787"/>
      <c r="I38" s="1787"/>
      <c r="J38" s="1787"/>
      <c r="K38" s="1787"/>
      <c r="L38" s="1787"/>
      <c r="M38" s="1787"/>
      <c r="N38" s="1787"/>
      <c r="O38" s="1770"/>
    </row>
    <row r="39" spans="1:15" ht="13.5" thickBot="1">
      <c r="A39" s="1784"/>
      <c r="B39" s="1767" t="s">
        <v>104</v>
      </c>
      <c r="C39" s="1768"/>
      <c r="D39" s="1788" t="s">
        <v>105</v>
      </c>
      <c r="E39" s="1789"/>
      <c r="F39" s="1789"/>
      <c r="G39" s="1790"/>
      <c r="H39" s="1778" t="s">
        <v>106</v>
      </c>
      <c r="I39" s="1779"/>
      <c r="J39" s="1779"/>
      <c r="K39" s="1780"/>
      <c r="L39" s="1778" t="s">
        <v>107</v>
      </c>
      <c r="M39" s="1779"/>
      <c r="N39" s="1779"/>
      <c r="O39" s="1780"/>
    </row>
    <row r="40" spans="1:15" ht="13.5" thickBot="1">
      <c r="A40" s="1784"/>
      <c r="B40" s="1767" t="s">
        <v>33</v>
      </c>
      <c r="C40" s="1768"/>
      <c r="D40" s="1769" t="s">
        <v>108</v>
      </c>
      <c r="E40" s="1770"/>
      <c r="F40" s="1769" t="s">
        <v>109</v>
      </c>
      <c r="G40" s="1770"/>
      <c r="H40" s="1774" t="s">
        <v>108</v>
      </c>
      <c r="I40" s="1768"/>
      <c r="J40" s="1774" t="s">
        <v>109</v>
      </c>
      <c r="K40" s="1768"/>
      <c r="L40" s="1774" t="s">
        <v>108</v>
      </c>
      <c r="M40" s="1768"/>
      <c r="N40" s="1774" t="s">
        <v>109</v>
      </c>
      <c r="O40" s="1768"/>
    </row>
    <row r="41" spans="1:15" ht="13.5" thickBot="1">
      <c r="A41" s="1785"/>
      <c r="B41" s="759" t="s">
        <v>110</v>
      </c>
      <c r="C41" s="760" t="s">
        <v>111</v>
      </c>
      <c r="D41" s="760" t="s">
        <v>110</v>
      </c>
      <c r="E41" s="760" t="s">
        <v>111</v>
      </c>
      <c r="F41" s="760" t="s">
        <v>110</v>
      </c>
      <c r="G41" s="760" t="s">
        <v>111</v>
      </c>
      <c r="H41" s="760" t="s">
        <v>110</v>
      </c>
      <c r="I41" s="760" t="s">
        <v>111</v>
      </c>
      <c r="J41" s="760" t="s">
        <v>110</v>
      </c>
      <c r="K41" s="760" t="s">
        <v>111</v>
      </c>
      <c r="L41" s="760" t="s">
        <v>110</v>
      </c>
      <c r="M41" s="760" t="s">
        <v>111</v>
      </c>
      <c r="N41" s="760" t="s">
        <v>110</v>
      </c>
      <c r="O41" s="761" t="s">
        <v>111</v>
      </c>
    </row>
    <row r="42" spans="1:15" ht="13.5" thickBot="1">
      <c r="A42" s="762" t="s">
        <v>33</v>
      </c>
      <c r="B42" s="763">
        <v>766892</v>
      </c>
      <c r="C42" s="764">
        <f>+B42/B$42</f>
        <v>1</v>
      </c>
      <c r="D42" s="765">
        <v>144926</v>
      </c>
      <c r="E42" s="764">
        <f t="shared" ref="E42:E59" si="0">+D42/D$42</f>
        <v>1</v>
      </c>
      <c r="F42" s="765">
        <v>61202</v>
      </c>
      <c r="G42" s="764">
        <f t="shared" ref="G42:G59" si="1">+F42/F$42</f>
        <v>1</v>
      </c>
      <c r="H42" s="765">
        <v>353710</v>
      </c>
      <c r="I42" s="764">
        <f t="shared" ref="I42:I59" si="2">+H42/H$42</f>
        <v>1</v>
      </c>
      <c r="J42" s="765">
        <v>106246</v>
      </c>
      <c r="K42" s="764">
        <f t="shared" ref="K42:K59" si="3">+J42/J$42</f>
        <v>1</v>
      </c>
      <c r="L42" s="765">
        <v>83786</v>
      </c>
      <c r="M42" s="764">
        <f t="shared" ref="M42:M59" si="4">+L42/L$42</f>
        <v>1</v>
      </c>
      <c r="N42" s="765">
        <v>17023</v>
      </c>
      <c r="O42" s="764">
        <f t="shared" ref="O42:O59" si="5">+N42/N$42</f>
        <v>1</v>
      </c>
    </row>
    <row r="43" spans="1:15">
      <c r="A43" s="766" t="s">
        <v>112</v>
      </c>
      <c r="B43" s="767">
        <v>4109</v>
      </c>
      <c r="C43" s="768">
        <f>+B43/B$42</f>
        <v>5.3579904341158856E-3</v>
      </c>
      <c r="D43" s="769">
        <v>1143</v>
      </c>
      <c r="E43" s="768">
        <f t="shared" si="0"/>
        <v>7.8867835999061591E-3</v>
      </c>
      <c r="F43" s="769">
        <v>340</v>
      </c>
      <c r="G43" s="768">
        <f t="shared" si="1"/>
        <v>5.5553740073853797E-3</v>
      </c>
      <c r="H43" s="769">
        <v>1761</v>
      </c>
      <c r="I43" s="768">
        <f t="shared" si="2"/>
        <v>4.9786548302281526E-3</v>
      </c>
      <c r="J43" s="769">
        <v>433</v>
      </c>
      <c r="K43" s="768">
        <f t="shared" si="3"/>
        <v>4.0754475462605648E-3</v>
      </c>
      <c r="L43" s="769">
        <v>433</v>
      </c>
      <c r="M43" s="768">
        <f t="shared" si="4"/>
        <v>5.1679278161029293E-3</v>
      </c>
      <c r="N43" s="769">
        <v>0</v>
      </c>
      <c r="O43" s="770">
        <f t="shared" si="5"/>
        <v>0</v>
      </c>
    </row>
    <row r="44" spans="1:15" ht="15.75" customHeight="1">
      <c r="A44" s="766" t="s">
        <v>113</v>
      </c>
      <c r="B44" s="771">
        <v>1576</v>
      </c>
      <c r="C44" s="764">
        <f t="shared" ref="C44:C59" si="6">+B44/B$42</f>
        <v>2.0550481684513595E-3</v>
      </c>
      <c r="D44" s="772">
        <v>124</v>
      </c>
      <c r="E44" s="764">
        <f t="shared" si="0"/>
        <v>8.5560906945613628E-4</v>
      </c>
      <c r="F44" s="772">
        <v>0</v>
      </c>
      <c r="G44" s="764">
        <f t="shared" si="1"/>
        <v>0</v>
      </c>
      <c r="H44" s="772">
        <v>309</v>
      </c>
      <c r="I44" s="764">
        <f t="shared" si="2"/>
        <v>8.7359701450340677E-4</v>
      </c>
      <c r="J44" s="772">
        <v>1112</v>
      </c>
      <c r="K44" s="764">
        <f t="shared" si="3"/>
        <v>1.0466276377463623E-2</v>
      </c>
      <c r="L44" s="772">
        <v>0</v>
      </c>
      <c r="M44" s="764">
        <f t="shared" si="4"/>
        <v>0</v>
      </c>
      <c r="N44" s="772">
        <v>31</v>
      </c>
      <c r="O44" s="773">
        <f t="shared" si="5"/>
        <v>1.821065617106268E-3</v>
      </c>
    </row>
    <row r="45" spans="1:15">
      <c r="A45" s="766" t="s">
        <v>114</v>
      </c>
      <c r="B45" s="771">
        <v>58236</v>
      </c>
      <c r="C45" s="764">
        <f t="shared" si="6"/>
        <v>7.5937680925084627E-2</v>
      </c>
      <c r="D45" s="772">
        <v>8002</v>
      </c>
      <c r="E45" s="764">
        <f t="shared" si="0"/>
        <v>5.5214385272483887E-2</v>
      </c>
      <c r="F45" s="772">
        <v>2626</v>
      </c>
      <c r="G45" s="764">
        <f t="shared" si="1"/>
        <v>4.290709453939414E-2</v>
      </c>
      <c r="H45" s="772">
        <v>25642</v>
      </c>
      <c r="I45" s="764">
        <f t="shared" si="2"/>
        <v>7.2494416329761668E-2</v>
      </c>
      <c r="J45" s="772">
        <v>9176</v>
      </c>
      <c r="K45" s="764">
        <f t="shared" si="3"/>
        <v>8.6365604352163852E-2</v>
      </c>
      <c r="L45" s="772">
        <v>11184</v>
      </c>
      <c r="M45" s="764">
        <f t="shared" si="4"/>
        <v>0.1334829207743537</v>
      </c>
      <c r="N45" s="772">
        <v>1607</v>
      </c>
      <c r="O45" s="773">
        <f t="shared" si="5"/>
        <v>9.4401691828702339E-2</v>
      </c>
    </row>
    <row r="46" spans="1:15">
      <c r="A46" s="766" t="s">
        <v>115</v>
      </c>
      <c r="B46" s="771">
        <v>7724</v>
      </c>
      <c r="C46" s="764">
        <f t="shared" si="6"/>
        <v>1.0071822368729886E-2</v>
      </c>
      <c r="D46" s="772">
        <v>1699</v>
      </c>
      <c r="E46" s="764">
        <f t="shared" si="0"/>
        <v>1.1723224266177222E-2</v>
      </c>
      <c r="F46" s="772">
        <v>154</v>
      </c>
      <c r="G46" s="764">
        <f t="shared" si="1"/>
        <v>2.51625763863926E-3</v>
      </c>
      <c r="H46" s="772">
        <v>3028</v>
      </c>
      <c r="I46" s="764">
        <f t="shared" si="2"/>
        <v>8.5606853071725428E-3</v>
      </c>
      <c r="J46" s="772">
        <v>711</v>
      </c>
      <c r="K46" s="764">
        <f t="shared" si="3"/>
        <v>6.6920166406264706E-3</v>
      </c>
      <c r="L46" s="772">
        <v>1977</v>
      </c>
      <c r="M46" s="764">
        <f t="shared" si="4"/>
        <v>2.3595827465208986E-2</v>
      </c>
      <c r="N46" s="772">
        <v>154</v>
      </c>
      <c r="O46" s="773">
        <f t="shared" si="5"/>
        <v>9.0465840333666218E-3</v>
      </c>
    </row>
    <row r="47" spans="1:15">
      <c r="A47" s="766" t="s">
        <v>116</v>
      </c>
      <c r="B47" s="771">
        <v>4727</v>
      </c>
      <c r="C47" s="764">
        <f t="shared" si="6"/>
        <v>6.1638405407801883E-3</v>
      </c>
      <c r="D47" s="772">
        <v>402</v>
      </c>
      <c r="E47" s="764">
        <f t="shared" si="0"/>
        <v>2.7738294025916673E-3</v>
      </c>
      <c r="F47" s="772">
        <v>31</v>
      </c>
      <c r="G47" s="764">
        <f t="shared" si="1"/>
        <v>5.0651939479101995E-4</v>
      </c>
      <c r="H47" s="772">
        <v>3429</v>
      </c>
      <c r="I47" s="764">
        <f t="shared" si="2"/>
        <v>9.6943824036640185E-3</v>
      </c>
      <c r="J47" s="772">
        <v>216</v>
      </c>
      <c r="K47" s="764">
        <f t="shared" si="3"/>
        <v>2.0330177136080418E-3</v>
      </c>
      <c r="L47" s="772">
        <v>556</v>
      </c>
      <c r="M47" s="764">
        <f t="shared" si="4"/>
        <v>6.6359535005848236E-3</v>
      </c>
      <c r="N47" s="772">
        <v>93</v>
      </c>
      <c r="O47" s="773">
        <f t="shared" si="5"/>
        <v>5.4631968513188037E-3</v>
      </c>
    </row>
    <row r="48" spans="1:15">
      <c r="A48" s="766" t="s">
        <v>117</v>
      </c>
      <c r="B48" s="771">
        <v>130035</v>
      </c>
      <c r="C48" s="764">
        <f t="shared" si="6"/>
        <v>0.16956103336584552</v>
      </c>
      <c r="D48" s="772">
        <v>54714</v>
      </c>
      <c r="E48" s="764">
        <f t="shared" si="0"/>
        <v>0.37753060182437936</v>
      </c>
      <c r="F48" s="772">
        <v>24777</v>
      </c>
      <c r="G48" s="764">
        <f t="shared" si="1"/>
        <v>0.40483971112055162</v>
      </c>
      <c r="H48" s="772">
        <v>32038</v>
      </c>
      <c r="I48" s="764">
        <f t="shared" si="2"/>
        <v>9.057702637754092E-2</v>
      </c>
      <c r="J48" s="772">
        <v>14057</v>
      </c>
      <c r="K48" s="764">
        <f t="shared" si="3"/>
        <v>0.13230615740827889</v>
      </c>
      <c r="L48" s="772">
        <v>3244</v>
      </c>
      <c r="M48" s="764">
        <f t="shared" si="4"/>
        <v>3.8717685532189149E-2</v>
      </c>
      <c r="N48" s="772">
        <v>1205</v>
      </c>
      <c r="O48" s="773">
        <f t="shared" si="5"/>
        <v>7.0786582858485575E-2</v>
      </c>
    </row>
    <row r="49" spans="1:15">
      <c r="A49" s="766" t="s">
        <v>118</v>
      </c>
      <c r="B49" s="771">
        <v>61943</v>
      </c>
      <c r="C49" s="764">
        <f t="shared" si="6"/>
        <v>8.077147760049655E-2</v>
      </c>
      <c r="D49" s="772">
        <v>4140</v>
      </c>
      <c r="E49" s="764">
        <f t="shared" si="0"/>
        <v>2.8566302802809709E-2</v>
      </c>
      <c r="F49" s="772">
        <v>1946</v>
      </c>
      <c r="G49" s="764">
        <f t="shared" si="1"/>
        <v>3.1796346524623376E-2</v>
      </c>
      <c r="H49" s="772">
        <v>40441</v>
      </c>
      <c r="I49" s="764">
        <f t="shared" si="2"/>
        <v>0.114333776257386</v>
      </c>
      <c r="J49" s="772">
        <v>7168</v>
      </c>
      <c r="K49" s="764">
        <f t="shared" si="3"/>
        <v>6.7466069310844645E-2</v>
      </c>
      <c r="L49" s="772">
        <v>7322</v>
      </c>
      <c r="M49" s="764">
        <f t="shared" si="4"/>
        <v>8.7389301315255533E-2</v>
      </c>
      <c r="N49" s="772">
        <v>927</v>
      </c>
      <c r="O49" s="773">
        <f t="shared" si="5"/>
        <v>5.4455736356693887E-2</v>
      </c>
    </row>
    <row r="50" spans="1:15">
      <c r="A50" s="766" t="s">
        <v>119</v>
      </c>
      <c r="B50" s="771">
        <v>71243</v>
      </c>
      <c r="C50" s="764">
        <f t="shared" si="6"/>
        <v>9.2898348137677791E-2</v>
      </c>
      <c r="D50" s="772">
        <v>9515</v>
      </c>
      <c r="E50" s="764">
        <f t="shared" si="0"/>
        <v>6.5654195934476911E-2</v>
      </c>
      <c r="F50" s="772">
        <v>4387</v>
      </c>
      <c r="G50" s="764">
        <f t="shared" si="1"/>
        <v>7.1680664030587232E-2</v>
      </c>
      <c r="H50" s="772">
        <v>28237</v>
      </c>
      <c r="I50" s="764">
        <f t="shared" si="2"/>
        <v>7.983093494670776E-2</v>
      </c>
      <c r="J50" s="772">
        <v>15138</v>
      </c>
      <c r="K50" s="764">
        <f t="shared" si="3"/>
        <v>0.14248065809536359</v>
      </c>
      <c r="L50" s="772">
        <v>10442</v>
      </c>
      <c r="M50" s="764">
        <f t="shared" si="4"/>
        <v>0.12462702599479626</v>
      </c>
      <c r="N50" s="772">
        <v>3522</v>
      </c>
      <c r="O50" s="773">
        <f t="shared" si="5"/>
        <v>0.20689655172413793</v>
      </c>
    </row>
    <row r="51" spans="1:15">
      <c r="A51" s="766" t="s">
        <v>120</v>
      </c>
      <c r="B51" s="771">
        <v>1545</v>
      </c>
      <c r="C51" s="764">
        <f t="shared" si="6"/>
        <v>2.0146252666607555E-3</v>
      </c>
      <c r="D51" s="772">
        <v>0</v>
      </c>
      <c r="E51" s="764">
        <f t="shared" si="0"/>
        <v>0</v>
      </c>
      <c r="F51" s="772">
        <v>0</v>
      </c>
      <c r="G51" s="764">
        <f t="shared" si="1"/>
        <v>0</v>
      </c>
      <c r="H51" s="772">
        <v>989</v>
      </c>
      <c r="I51" s="764">
        <f t="shared" si="2"/>
        <v>2.7960758813717454E-3</v>
      </c>
      <c r="J51" s="772">
        <v>402</v>
      </c>
      <c r="K51" s="764">
        <f t="shared" si="3"/>
        <v>3.7836718558816331E-3</v>
      </c>
      <c r="L51" s="772">
        <v>124</v>
      </c>
      <c r="M51" s="764">
        <f t="shared" si="4"/>
        <v>1.4799608526484139E-3</v>
      </c>
      <c r="N51" s="772">
        <v>31</v>
      </c>
      <c r="O51" s="773">
        <f t="shared" si="5"/>
        <v>1.821065617106268E-3</v>
      </c>
    </row>
    <row r="52" spans="1:15">
      <c r="A52" s="766" t="s">
        <v>121</v>
      </c>
      <c r="B52" s="771">
        <v>2472</v>
      </c>
      <c r="C52" s="764">
        <f t="shared" si="6"/>
        <v>3.2234004266572087E-3</v>
      </c>
      <c r="D52" s="772">
        <v>278</v>
      </c>
      <c r="E52" s="764">
        <f t="shared" si="0"/>
        <v>1.9182203331355313E-3</v>
      </c>
      <c r="F52" s="772">
        <v>93</v>
      </c>
      <c r="G52" s="764">
        <f t="shared" si="1"/>
        <v>1.5195581843730596E-3</v>
      </c>
      <c r="H52" s="772">
        <v>772</v>
      </c>
      <c r="I52" s="764">
        <f t="shared" si="2"/>
        <v>2.1825789488564076E-3</v>
      </c>
      <c r="J52" s="772">
        <v>185</v>
      </c>
      <c r="K52" s="764">
        <f t="shared" si="3"/>
        <v>1.7412420232291099E-3</v>
      </c>
      <c r="L52" s="772">
        <v>1143</v>
      </c>
      <c r="M52" s="764">
        <f t="shared" si="4"/>
        <v>1.364189721433175E-2</v>
      </c>
      <c r="N52" s="772">
        <v>0</v>
      </c>
      <c r="O52" s="773">
        <f t="shared" si="5"/>
        <v>0</v>
      </c>
    </row>
    <row r="53" spans="1:15">
      <c r="A53" s="766" t="s">
        <v>122</v>
      </c>
      <c r="B53" s="771">
        <v>22306</v>
      </c>
      <c r="C53" s="764">
        <f t="shared" si="6"/>
        <v>2.9086233785200522E-2</v>
      </c>
      <c r="D53" s="772">
        <v>1761</v>
      </c>
      <c r="E53" s="764">
        <f t="shared" si="0"/>
        <v>1.2151028800905289E-2</v>
      </c>
      <c r="F53" s="772">
        <v>402</v>
      </c>
      <c r="G53" s="764">
        <f t="shared" si="1"/>
        <v>6.5684127969674192E-3</v>
      </c>
      <c r="H53" s="772">
        <v>14798</v>
      </c>
      <c r="I53" s="764">
        <f t="shared" si="2"/>
        <v>4.1836532752820108E-2</v>
      </c>
      <c r="J53" s="772">
        <v>2811</v>
      </c>
      <c r="K53" s="764">
        <f t="shared" si="3"/>
        <v>2.6457466634037988E-2</v>
      </c>
      <c r="L53" s="772">
        <v>2379</v>
      </c>
      <c r="M53" s="764">
        <f t="shared" si="4"/>
        <v>2.839376506814981E-2</v>
      </c>
      <c r="N53" s="772">
        <v>154</v>
      </c>
      <c r="O53" s="773">
        <f t="shared" si="5"/>
        <v>9.0465840333666218E-3</v>
      </c>
    </row>
    <row r="54" spans="1:15">
      <c r="A54" s="766" t="s">
        <v>123</v>
      </c>
      <c r="B54" s="771">
        <v>226240</v>
      </c>
      <c r="C54" s="764">
        <f t="shared" si="6"/>
        <v>0.2950089451969769</v>
      </c>
      <c r="D54" s="772">
        <v>23294</v>
      </c>
      <c r="E54" s="764">
        <f t="shared" si="0"/>
        <v>0.16073030374121966</v>
      </c>
      <c r="F54" s="772">
        <v>10566</v>
      </c>
      <c r="G54" s="764">
        <f t="shared" si="1"/>
        <v>0.17264141694715859</v>
      </c>
      <c r="H54" s="772">
        <v>123578</v>
      </c>
      <c r="I54" s="764">
        <f t="shared" si="2"/>
        <v>0.34937660795566988</v>
      </c>
      <c r="J54" s="772">
        <v>36116</v>
      </c>
      <c r="K54" s="764">
        <f t="shared" si="3"/>
        <v>0.33992809141050018</v>
      </c>
      <c r="L54" s="772">
        <v>27465</v>
      </c>
      <c r="M54" s="764">
        <f t="shared" si="4"/>
        <v>0.32779939369345712</v>
      </c>
      <c r="N54" s="772">
        <v>5221</v>
      </c>
      <c r="O54" s="773">
        <f t="shared" si="5"/>
        <v>0.30670269635199437</v>
      </c>
    </row>
    <row r="55" spans="1:15">
      <c r="A55" s="766" t="s">
        <v>124</v>
      </c>
      <c r="B55" s="771">
        <v>7724</v>
      </c>
      <c r="C55" s="764">
        <f t="shared" si="6"/>
        <v>1.0071822368729886E-2</v>
      </c>
      <c r="D55" s="772">
        <v>154</v>
      </c>
      <c r="E55" s="764">
        <f t="shared" si="0"/>
        <v>1.0626112636793949E-3</v>
      </c>
      <c r="F55" s="772">
        <v>31</v>
      </c>
      <c r="G55" s="764">
        <f t="shared" si="1"/>
        <v>5.0651939479101995E-4</v>
      </c>
      <c r="H55" s="772">
        <v>4696</v>
      </c>
      <c r="I55" s="764">
        <f t="shared" si="2"/>
        <v>1.3276412880608409E-2</v>
      </c>
      <c r="J55" s="772">
        <v>433</v>
      </c>
      <c r="K55" s="764">
        <f t="shared" si="3"/>
        <v>4.0754475462605648E-3</v>
      </c>
      <c r="L55" s="772">
        <v>2194</v>
      </c>
      <c r="M55" s="764">
        <f t="shared" si="4"/>
        <v>2.6185758957343708E-2</v>
      </c>
      <c r="N55" s="772">
        <v>216</v>
      </c>
      <c r="O55" s="773">
        <f t="shared" si="5"/>
        <v>1.2688715267579158E-2</v>
      </c>
    </row>
    <row r="56" spans="1:15">
      <c r="A56" s="766" t="s">
        <v>125</v>
      </c>
      <c r="B56" s="771">
        <v>56444</v>
      </c>
      <c r="C56" s="764">
        <f t="shared" si="6"/>
        <v>7.3600976408672927E-2</v>
      </c>
      <c r="D56" s="772">
        <v>5499</v>
      </c>
      <c r="E56" s="764">
        <f t="shared" si="0"/>
        <v>3.794350220112333E-2</v>
      </c>
      <c r="F56" s="772">
        <v>1792</v>
      </c>
      <c r="G56" s="764">
        <f t="shared" si="1"/>
        <v>2.9280088885984119E-2</v>
      </c>
      <c r="H56" s="772">
        <v>30802</v>
      </c>
      <c r="I56" s="764">
        <f t="shared" si="2"/>
        <v>8.7082638319527297E-2</v>
      </c>
      <c r="J56" s="772">
        <v>5252</v>
      </c>
      <c r="K56" s="764">
        <f t="shared" si="3"/>
        <v>4.9432449221617755E-2</v>
      </c>
      <c r="L56" s="772">
        <v>11400</v>
      </c>
      <c r="M56" s="764">
        <f t="shared" si="4"/>
        <v>0.13606091709832191</v>
      </c>
      <c r="N56" s="772">
        <v>1699</v>
      </c>
      <c r="O56" s="773">
        <f t="shared" si="5"/>
        <v>9.9806144627856433E-2</v>
      </c>
    </row>
    <row r="57" spans="1:15">
      <c r="A57" s="766" t="s">
        <v>126</v>
      </c>
      <c r="B57" s="771">
        <v>97163</v>
      </c>
      <c r="C57" s="764">
        <f t="shared" si="6"/>
        <v>0.12669710989291844</v>
      </c>
      <c r="D57" s="772">
        <v>33706</v>
      </c>
      <c r="E57" s="764">
        <f t="shared" si="0"/>
        <v>0.232573865282972</v>
      </c>
      <c r="F57" s="772">
        <v>13933</v>
      </c>
      <c r="G57" s="764">
        <f t="shared" si="1"/>
        <v>0.22765595895558968</v>
      </c>
      <c r="H57" s="772">
        <v>32594</v>
      </c>
      <c r="I57" s="764">
        <f t="shared" si="2"/>
        <v>9.214893556868621E-2</v>
      </c>
      <c r="J57" s="772">
        <v>11802</v>
      </c>
      <c r="K57" s="764">
        <f t="shared" si="3"/>
        <v>0.11108182896297272</v>
      </c>
      <c r="L57" s="772">
        <v>3244</v>
      </c>
      <c r="M57" s="764">
        <f t="shared" si="4"/>
        <v>3.8717685532189149E-2</v>
      </c>
      <c r="N57" s="772">
        <v>1885</v>
      </c>
      <c r="O57" s="773">
        <f t="shared" si="5"/>
        <v>0.11073253833049404</v>
      </c>
    </row>
    <row r="58" spans="1:15">
      <c r="A58" s="766" t="s">
        <v>127</v>
      </c>
      <c r="B58" s="771">
        <v>12636</v>
      </c>
      <c r="C58" s="764">
        <f t="shared" si="6"/>
        <v>1.647689635567981E-2</v>
      </c>
      <c r="D58" s="772">
        <v>463</v>
      </c>
      <c r="E58" s="764">
        <f t="shared" si="0"/>
        <v>3.1947338641789601E-3</v>
      </c>
      <c r="F58" s="772">
        <v>124</v>
      </c>
      <c r="G58" s="764">
        <f t="shared" si="1"/>
        <v>2.0260775791640798E-3</v>
      </c>
      <c r="H58" s="772">
        <v>10010</v>
      </c>
      <c r="I58" s="764">
        <f t="shared" si="2"/>
        <v>2.8300019790223629E-2</v>
      </c>
      <c r="J58" s="772">
        <v>1081</v>
      </c>
      <c r="K58" s="764">
        <f t="shared" si="3"/>
        <v>1.0174500687084691E-2</v>
      </c>
      <c r="L58" s="772">
        <v>680</v>
      </c>
      <c r="M58" s="764">
        <f t="shared" si="4"/>
        <v>8.1159143532332379E-3</v>
      </c>
      <c r="N58" s="772">
        <v>278</v>
      </c>
      <c r="O58" s="773">
        <f t="shared" si="5"/>
        <v>1.6330846501791695E-2</v>
      </c>
    </row>
    <row r="59" spans="1:15" ht="13.5" thickBot="1">
      <c r="A59" s="762" t="s">
        <v>128</v>
      </c>
      <c r="B59" s="774">
        <v>772</v>
      </c>
      <c r="C59" s="775">
        <f t="shared" si="6"/>
        <v>1.0066606510434324E-3</v>
      </c>
      <c r="D59" s="776">
        <v>31</v>
      </c>
      <c r="E59" s="775">
        <f t="shared" si="0"/>
        <v>2.1390226736403407E-4</v>
      </c>
      <c r="F59" s="776">
        <v>0</v>
      </c>
      <c r="G59" s="775">
        <f t="shared" si="1"/>
        <v>0</v>
      </c>
      <c r="H59" s="776">
        <v>587</v>
      </c>
      <c r="I59" s="775">
        <f t="shared" si="2"/>
        <v>1.6595516100760511E-3</v>
      </c>
      <c r="J59" s="776">
        <v>154</v>
      </c>
      <c r="K59" s="775">
        <f t="shared" si="3"/>
        <v>1.4494663328501779E-3</v>
      </c>
      <c r="L59" s="776">
        <v>0</v>
      </c>
      <c r="M59" s="775">
        <f t="shared" si="4"/>
        <v>0</v>
      </c>
      <c r="N59" s="776">
        <v>0</v>
      </c>
      <c r="O59" s="777">
        <f t="shared" si="5"/>
        <v>0</v>
      </c>
    </row>
    <row r="60" spans="1:15">
      <c r="B60" s="778"/>
      <c r="D60" s="778"/>
      <c r="F60" s="778"/>
      <c r="H60" s="778"/>
      <c r="J60" s="778"/>
      <c r="L60" s="778"/>
      <c r="N60" s="778"/>
    </row>
    <row r="61" spans="1:15">
      <c r="B61" s="778">
        <f>+SUM(B43:B59)</f>
        <v>766895</v>
      </c>
      <c r="C61" s="757">
        <f t="shared" ref="C61:O61" si="7">+SUM(C43:C59)</f>
        <v>1.0000039118937216</v>
      </c>
      <c r="D61" s="779">
        <f t="shared" si="7"/>
        <v>144925</v>
      </c>
      <c r="E61" s="757">
        <f t="shared" si="7"/>
        <v>0.99999309992685914</v>
      </c>
      <c r="F61" s="779">
        <f t="shared" si="7"/>
        <v>61202</v>
      </c>
      <c r="G61" s="757">
        <f t="shared" si="7"/>
        <v>1</v>
      </c>
      <c r="H61" s="778">
        <f t="shared" si="7"/>
        <v>353711</v>
      </c>
      <c r="I61" s="757">
        <f t="shared" si="7"/>
        <v>1.0000028271748045</v>
      </c>
      <c r="J61" s="778">
        <f t="shared" si="7"/>
        <v>106247</v>
      </c>
      <c r="K61" s="757">
        <f t="shared" si="7"/>
        <v>1.0000094121190444</v>
      </c>
      <c r="L61" s="778">
        <f t="shared" si="7"/>
        <v>83787</v>
      </c>
      <c r="M61" s="757">
        <f t="shared" si="7"/>
        <v>1.0000119351681667</v>
      </c>
      <c r="N61" s="778">
        <f t="shared" si="7"/>
        <v>17023</v>
      </c>
      <c r="O61" s="757">
        <f t="shared" si="7"/>
        <v>1</v>
      </c>
    </row>
    <row r="63" spans="1:15">
      <c r="D63" s="756">
        <f>+D61/(D61+F61)</f>
        <v>0.70308596156738323</v>
      </c>
      <c r="E63" s="780" t="s">
        <v>1311</v>
      </c>
      <c r="F63" s="780"/>
      <c r="G63" s="780"/>
      <c r="H63" s="780"/>
    </row>
    <row r="66" spans="1:25" ht="13.5" thickBot="1">
      <c r="A66" s="758" t="s">
        <v>255</v>
      </c>
      <c r="M66" s="758" t="s">
        <v>270</v>
      </c>
    </row>
    <row r="67" spans="1:25" ht="13.5" thickBot="1">
      <c r="A67" s="1775" t="s">
        <v>132</v>
      </c>
      <c r="B67" s="793" t="s">
        <v>104</v>
      </c>
      <c r="C67" s="1778"/>
      <c r="D67" s="1779"/>
      <c r="E67" s="1779"/>
      <c r="F67" s="1779"/>
      <c r="G67" s="1779"/>
      <c r="H67" s="1779"/>
      <c r="I67" s="1779"/>
      <c r="J67" s="1780"/>
      <c r="K67" s="794" t="s">
        <v>104</v>
      </c>
      <c r="M67" s="1783"/>
      <c r="N67" s="1786" t="s">
        <v>265</v>
      </c>
      <c r="O67" s="1787"/>
      <c r="P67" s="1787"/>
      <c r="Q67" s="1787"/>
      <c r="R67" s="1787"/>
      <c r="S67" s="1787"/>
      <c r="T67" s="1787"/>
      <c r="U67" s="1787"/>
      <c r="V67" s="1787"/>
      <c r="W67" s="1770"/>
      <c r="X67" s="795" t="s">
        <v>104</v>
      </c>
    </row>
    <row r="68" spans="1:25" ht="21.95" customHeight="1" thickBot="1">
      <c r="A68" s="1776"/>
      <c r="B68" s="1781" t="s">
        <v>133</v>
      </c>
      <c r="C68" s="1774" t="s">
        <v>134</v>
      </c>
      <c r="D68" s="1768"/>
      <c r="E68" s="1774" t="s">
        <v>135</v>
      </c>
      <c r="F68" s="1768"/>
      <c r="G68" s="1774" t="s">
        <v>136</v>
      </c>
      <c r="H68" s="1768"/>
      <c r="I68" s="1774" t="s">
        <v>137</v>
      </c>
      <c r="J68" s="1768"/>
      <c r="K68" s="1791" t="s">
        <v>138</v>
      </c>
      <c r="M68" s="1784"/>
      <c r="N68" s="1807" t="s">
        <v>33</v>
      </c>
      <c r="O68" s="1808"/>
      <c r="P68" s="1797" t="s">
        <v>266</v>
      </c>
      <c r="Q68" s="1798"/>
      <c r="R68" s="1797" t="s">
        <v>267</v>
      </c>
      <c r="S68" s="1798"/>
      <c r="T68" s="1797" t="s">
        <v>268</v>
      </c>
      <c r="U68" s="1798"/>
      <c r="V68" s="1797" t="s">
        <v>269</v>
      </c>
      <c r="W68" s="1798"/>
      <c r="X68" s="1805" t="s">
        <v>140</v>
      </c>
    </row>
    <row r="69" spans="1:25" ht="13.5" thickBot="1">
      <c r="A69" s="1777"/>
      <c r="B69" s="1782"/>
      <c r="C69" s="796" t="s">
        <v>110</v>
      </c>
      <c r="D69" s="796" t="s">
        <v>111</v>
      </c>
      <c r="E69" s="796" t="s">
        <v>110</v>
      </c>
      <c r="F69" s="796" t="s">
        <v>111</v>
      </c>
      <c r="G69" s="796" t="s">
        <v>110</v>
      </c>
      <c r="H69" s="796" t="s">
        <v>111</v>
      </c>
      <c r="I69" s="796" t="s">
        <v>110</v>
      </c>
      <c r="J69" s="796" t="s">
        <v>111</v>
      </c>
      <c r="K69" s="1792"/>
      <c r="M69" s="1785"/>
      <c r="N69" s="797" t="s">
        <v>110</v>
      </c>
      <c r="O69" s="798" t="s">
        <v>111</v>
      </c>
      <c r="P69" s="799" t="s">
        <v>110</v>
      </c>
      <c r="Q69" s="799" t="s">
        <v>111</v>
      </c>
      <c r="R69" s="799" t="s">
        <v>110</v>
      </c>
      <c r="S69" s="799" t="s">
        <v>111</v>
      </c>
      <c r="T69" s="799" t="s">
        <v>110</v>
      </c>
      <c r="U69" s="799" t="s">
        <v>111</v>
      </c>
      <c r="V69" s="799" t="s">
        <v>110</v>
      </c>
      <c r="W69" s="799" t="s">
        <v>111</v>
      </c>
      <c r="X69" s="1806"/>
    </row>
    <row r="70" spans="1:25" ht="13.5" thickBot="1">
      <c r="A70" s="800" t="s">
        <v>33</v>
      </c>
      <c r="B70" s="801">
        <v>59889459331</v>
      </c>
      <c r="C70" s="802">
        <v>227198</v>
      </c>
      <c r="D70" s="802">
        <v>100</v>
      </c>
      <c r="E70" s="802">
        <v>527738</v>
      </c>
      <c r="F70" s="802">
        <v>100</v>
      </c>
      <c r="G70" s="802">
        <v>7724</v>
      </c>
      <c r="H70" s="802">
        <v>100</v>
      </c>
      <c r="I70" s="802">
        <v>4233</v>
      </c>
      <c r="J70" s="802">
        <v>100</v>
      </c>
      <c r="K70" s="803">
        <v>78094</v>
      </c>
      <c r="M70" s="804" t="s">
        <v>33</v>
      </c>
      <c r="N70" s="805">
        <v>766892</v>
      </c>
      <c r="O70" s="806">
        <v>100</v>
      </c>
      <c r="P70" s="806">
        <v>236960</v>
      </c>
      <c r="Q70" s="806">
        <v>100</v>
      </c>
      <c r="R70" s="806">
        <v>258864</v>
      </c>
      <c r="S70" s="806">
        <v>100</v>
      </c>
      <c r="T70" s="806">
        <v>251079</v>
      </c>
      <c r="U70" s="806">
        <v>100</v>
      </c>
      <c r="V70" s="806">
        <v>19989</v>
      </c>
      <c r="W70" s="806">
        <v>100</v>
      </c>
      <c r="X70" s="807">
        <v>7.6</v>
      </c>
    </row>
    <row r="71" spans="1:25" ht="25.5">
      <c r="A71" s="808" t="s">
        <v>105</v>
      </c>
      <c r="B71" s="772">
        <v>18187027416</v>
      </c>
      <c r="C71" s="809">
        <v>127131</v>
      </c>
      <c r="D71" s="809">
        <v>56</v>
      </c>
      <c r="E71" s="809">
        <v>78286</v>
      </c>
      <c r="F71" s="809">
        <v>14.8</v>
      </c>
      <c r="G71" s="809">
        <v>185</v>
      </c>
      <c r="H71" s="809">
        <v>2.4</v>
      </c>
      <c r="I71" s="809">
        <v>525</v>
      </c>
      <c r="J71" s="809">
        <v>12.4</v>
      </c>
      <c r="K71" s="809">
        <v>88232</v>
      </c>
      <c r="M71" s="766" t="s">
        <v>105</v>
      </c>
      <c r="N71" s="810">
        <v>206128</v>
      </c>
      <c r="O71" s="811">
        <v>26.9</v>
      </c>
      <c r="P71" s="811">
        <v>141929</v>
      </c>
      <c r="Q71" s="811">
        <v>59.9</v>
      </c>
      <c r="R71" s="811">
        <v>45106</v>
      </c>
      <c r="S71" s="811">
        <v>17.399999999999999</v>
      </c>
      <c r="T71" s="811">
        <v>13223</v>
      </c>
      <c r="U71" s="811">
        <v>5.3</v>
      </c>
      <c r="V71" s="811">
        <v>5870</v>
      </c>
      <c r="W71" s="812">
        <v>29.4</v>
      </c>
      <c r="X71" s="813">
        <v>8.8000000000000007</v>
      </c>
    </row>
    <row r="72" spans="1:25" ht="25.5">
      <c r="A72" s="808" t="s">
        <v>106</v>
      </c>
      <c r="B72" s="772">
        <v>39269212747</v>
      </c>
      <c r="C72" s="809">
        <v>90490</v>
      </c>
      <c r="D72" s="809">
        <v>39.799999999999997</v>
      </c>
      <c r="E72" s="809">
        <v>361804</v>
      </c>
      <c r="F72" s="809">
        <v>68.599999999999994</v>
      </c>
      <c r="G72" s="809">
        <v>5128</v>
      </c>
      <c r="H72" s="809">
        <v>66.400000000000006</v>
      </c>
      <c r="I72" s="809">
        <v>2533</v>
      </c>
      <c r="J72" s="809">
        <v>59.9</v>
      </c>
      <c r="K72" s="809">
        <v>85376</v>
      </c>
      <c r="M72" s="766" t="s">
        <v>106</v>
      </c>
      <c r="N72" s="810">
        <v>459956</v>
      </c>
      <c r="O72" s="811">
        <v>60</v>
      </c>
      <c r="P72" s="811">
        <v>80325</v>
      </c>
      <c r="Q72" s="811">
        <v>33.9</v>
      </c>
      <c r="R72" s="811">
        <v>135719</v>
      </c>
      <c r="S72" s="811">
        <v>52.4</v>
      </c>
      <c r="T72" s="811">
        <v>229793</v>
      </c>
      <c r="U72" s="811">
        <v>91.5</v>
      </c>
      <c r="V72" s="811">
        <v>14119</v>
      </c>
      <c r="W72" s="812">
        <v>70.599999999999994</v>
      </c>
      <c r="X72" s="813">
        <v>7.2</v>
      </c>
    </row>
    <row r="73" spans="1:25" ht="26.25" thickBot="1">
      <c r="A73" s="814" t="s">
        <v>107</v>
      </c>
      <c r="B73" s="815">
        <v>2433219168</v>
      </c>
      <c r="C73" s="816">
        <v>9577</v>
      </c>
      <c r="D73" s="816">
        <v>4.2</v>
      </c>
      <c r="E73" s="816">
        <v>87647</v>
      </c>
      <c r="F73" s="816">
        <v>16.600000000000001</v>
      </c>
      <c r="G73" s="816">
        <v>2410</v>
      </c>
      <c r="H73" s="816">
        <v>31.2</v>
      </c>
      <c r="I73" s="816">
        <v>1174</v>
      </c>
      <c r="J73" s="816">
        <v>27.7</v>
      </c>
      <c r="K73" s="816">
        <v>24137</v>
      </c>
      <c r="M73" s="762" t="s">
        <v>107</v>
      </c>
      <c r="N73" s="817">
        <v>100808</v>
      </c>
      <c r="O73" s="818">
        <v>13.1</v>
      </c>
      <c r="P73" s="818">
        <v>14706</v>
      </c>
      <c r="Q73" s="818">
        <v>6.2</v>
      </c>
      <c r="R73" s="818">
        <v>78039</v>
      </c>
      <c r="S73" s="818">
        <v>30.1</v>
      </c>
      <c r="T73" s="818">
        <v>8063</v>
      </c>
      <c r="U73" s="818">
        <v>3.2</v>
      </c>
      <c r="V73" s="818">
        <v>0</v>
      </c>
      <c r="W73" s="819">
        <v>0</v>
      </c>
      <c r="X73" s="820">
        <v>7</v>
      </c>
    </row>
    <row r="74" spans="1:25">
      <c r="A74" s="821"/>
      <c r="B74" s="822"/>
      <c r="C74" s="823"/>
      <c r="D74" s="823"/>
      <c r="E74" s="823"/>
      <c r="F74" s="823"/>
      <c r="G74" s="823"/>
      <c r="H74" s="823"/>
      <c r="I74" s="823"/>
      <c r="J74" s="823"/>
      <c r="K74" s="823"/>
      <c r="M74" s="821"/>
      <c r="N74" s="824"/>
      <c r="O74" s="824"/>
      <c r="P74" s="824"/>
      <c r="Q74" s="824"/>
      <c r="R74" s="824"/>
      <c r="S74" s="824"/>
      <c r="T74" s="824"/>
      <c r="U74" s="824"/>
      <c r="V74" s="824"/>
      <c r="W74" s="824"/>
      <c r="X74" s="825"/>
    </row>
    <row r="75" spans="1:25">
      <c r="A75" s="821"/>
      <c r="B75" s="822"/>
      <c r="C75" s="823"/>
      <c r="D75" s="823"/>
      <c r="E75" s="823"/>
      <c r="F75" s="823"/>
      <c r="G75" s="823"/>
      <c r="H75" s="823"/>
      <c r="I75" s="823"/>
      <c r="J75" s="823"/>
      <c r="K75" s="823"/>
      <c r="M75" s="821"/>
      <c r="N75" s="824"/>
      <c r="O75" s="824"/>
      <c r="P75" s="824"/>
      <c r="Q75" s="824"/>
      <c r="R75" s="824"/>
      <c r="S75" s="824"/>
      <c r="T75" s="824"/>
      <c r="U75" s="824"/>
      <c r="V75" s="824"/>
      <c r="W75" s="824"/>
      <c r="X75" s="825"/>
    </row>
    <row r="76" spans="1:25" ht="13.5" thickBot="1">
      <c r="L76" s="758" t="s">
        <v>271</v>
      </c>
    </row>
    <row r="77" spans="1:25" ht="13.5" thickBot="1">
      <c r="A77" s="830" t="s">
        <v>256</v>
      </c>
      <c r="L77" s="1799" t="s">
        <v>139</v>
      </c>
      <c r="M77" s="1802" t="s">
        <v>258</v>
      </c>
      <c r="N77" s="1803"/>
      <c r="O77" s="1803"/>
      <c r="P77" s="1803"/>
      <c r="Q77" s="1803"/>
      <c r="R77" s="1803"/>
      <c r="S77" s="1803"/>
      <c r="T77" s="1803"/>
      <c r="U77" s="1803"/>
      <c r="V77" s="1803"/>
      <c r="W77" s="1803"/>
      <c r="X77" s="1804"/>
      <c r="Y77" s="1809" t="s">
        <v>259</v>
      </c>
    </row>
    <row r="78" spans="1:25" ht="21" customHeight="1" thickBot="1">
      <c r="A78" s="1793" t="s">
        <v>139</v>
      </c>
      <c r="B78" s="1769" t="s">
        <v>103</v>
      </c>
      <c r="C78" s="1787"/>
      <c r="D78" s="1787"/>
      <c r="E78" s="1787"/>
      <c r="F78" s="1787"/>
      <c r="G78" s="1787"/>
      <c r="H78" s="1787"/>
      <c r="I78" s="1770"/>
      <c r="J78" s="1795" t="s">
        <v>140</v>
      </c>
      <c r="L78" s="1800"/>
      <c r="M78" s="1802" t="s">
        <v>33</v>
      </c>
      <c r="N78" s="1804"/>
      <c r="O78" s="1812" t="s">
        <v>260</v>
      </c>
      <c r="P78" s="1813"/>
      <c r="Q78" s="1814" t="s">
        <v>261</v>
      </c>
      <c r="R78" s="1813"/>
      <c r="S78" s="1802" t="s">
        <v>262</v>
      </c>
      <c r="T78" s="1804"/>
      <c r="U78" s="1802" t="s">
        <v>263</v>
      </c>
      <c r="V78" s="1804"/>
      <c r="W78" s="1802" t="s">
        <v>264</v>
      </c>
      <c r="X78" s="1804"/>
      <c r="Y78" s="1810"/>
    </row>
    <row r="79" spans="1:25" ht="20.25" customHeight="1" thickBot="1">
      <c r="A79" s="1794"/>
      <c r="B79" s="1797" t="s">
        <v>33</v>
      </c>
      <c r="C79" s="1798"/>
      <c r="D79" s="1797" t="s">
        <v>105</v>
      </c>
      <c r="E79" s="1798"/>
      <c r="F79" s="1797" t="s">
        <v>106</v>
      </c>
      <c r="G79" s="1798"/>
      <c r="H79" s="1797" t="s">
        <v>107</v>
      </c>
      <c r="I79" s="1798"/>
      <c r="J79" s="1796"/>
      <c r="L79" s="1801"/>
      <c r="M79" s="807" t="s">
        <v>110</v>
      </c>
      <c r="N79" s="807" t="s">
        <v>111</v>
      </c>
      <c r="O79" s="807" t="s">
        <v>110</v>
      </c>
      <c r="P79" s="807" t="s">
        <v>111</v>
      </c>
      <c r="Q79" s="807" t="s">
        <v>110</v>
      </c>
      <c r="R79" s="807" t="s">
        <v>111</v>
      </c>
      <c r="S79" s="807" t="s">
        <v>110</v>
      </c>
      <c r="T79" s="807" t="s">
        <v>111</v>
      </c>
      <c r="U79" s="807" t="s">
        <v>110</v>
      </c>
      <c r="V79" s="807" t="s">
        <v>111</v>
      </c>
      <c r="W79" s="807" t="s">
        <v>110</v>
      </c>
      <c r="X79" s="807" t="s">
        <v>111</v>
      </c>
      <c r="Y79" s="1811"/>
    </row>
    <row r="80" spans="1:25" ht="13.5" thickBot="1">
      <c r="A80" s="831" t="s">
        <v>33</v>
      </c>
      <c r="B80" s="832">
        <v>766892</v>
      </c>
      <c r="C80" s="832">
        <v>100</v>
      </c>
      <c r="D80" s="832">
        <v>206128</v>
      </c>
      <c r="E80" s="832">
        <v>26.9</v>
      </c>
      <c r="F80" s="832">
        <v>459956</v>
      </c>
      <c r="G80" s="832">
        <v>60</v>
      </c>
      <c r="H80" s="832">
        <v>100808</v>
      </c>
      <c r="I80" s="832">
        <v>13.1</v>
      </c>
      <c r="J80" s="807">
        <v>7.6</v>
      </c>
      <c r="L80" s="762" t="s">
        <v>33</v>
      </c>
      <c r="M80" s="833">
        <v>766892</v>
      </c>
      <c r="N80" s="802">
        <v>100</v>
      </c>
      <c r="O80" s="802">
        <v>579147</v>
      </c>
      <c r="P80" s="802">
        <v>100</v>
      </c>
      <c r="Q80" s="802">
        <v>96082</v>
      </c>
      <c r="R80" s="802">
        <v>100</v>
      </c>
      <c r="S80" s="802">
        <v>75846</v>
      </c>
      <c r="T80" s="802">
        <v>100</v>
      </c>
      <c r="U80" s="803">
        <v>12728</v>
      </c>
      <c r="V80" s="834">
        <v>100</v>
      </c>
      <c r="W80" s="833">
        <v>3089</v>
      </c>
      <c r="X80" s="835">
        <v>100</v>
      </c>
      <c r="Y80" s="852">
        <f>+SUMPRODUCT(M81:M194,Y81:Y194)/(100*M80)</f>
        <v>9.8971677889455115E-2</v>
      </c>
    </row>
    <row r="81" spans="1:25">
      <c r="A81" s="766" t="s">
        <v>141</v>
      </c>
      <c r="B81" s="836">
        <v>31</v>
      </c>
      <c r="C81" s="809">
        <v>100</v>
      </c>
      <c r="D81" s="809">
        <v>0</v>
      </c>
      <c r="E81" s="809">
        <v>0</v>
      </c>
      <c r="F81" s="809">
        <v>31</v>
      </c>
      <c r="G81" s="809">
        <v>100</v>
      </c>
      <c r="H81" s="809">
        <v>0</v>
      </c>
      <c r="I81" s="809">
        <v>0</v>
      </c>
      <c r="J81" s="837">
        <v>10</v>
      </c>
      <c r="L81" s="766" t="s">
        <v>141</v>
      </c>
      <c r="M81" s="836">
        <v>31</v>
      </c>
      <c r="N81" s="809">
        <v>0</v>
      </c>
      <c r="O81" s="809">
        <v>0</v>
      </c>
      <c r="P81" s="809">
        <v>0</v>
      </c>
      <c r="Q81" s="809">
        <v>31</v>
      </c>
      <c r="R81" s="809">
        <v>0</v>
      </c>
      <c r="S81" s="809">
        <v>0</v>
      </c>
      <c r="T81" s="809">
        <v>0</v>
      </c>
      <c r="U81" s="838">
        <v>0</v>
      </c>
      <c r="V81" s="839">
        <v>0</v>
      </c>
      <c r="W81" s="836">
        <v>0</v>
      </c>
      <c r="X81" s="840">
        <v>0</v>
      </c>
      <c r="Y81" s="841">
        <v>0</v>
      </c>
    </row>
    <row r="82" spans="1:25">
      <c r="A82" s="766" t="s">
        <v>142</v>
      </c>
      <c r="B82" s="836">
        <v>93</v>
      </c>
      <c r="C82" s="809">
        <v>100</v>
      </c>
      <c r="D82" s="809">
        <v>31</v>
      </c>
      <c r="E82" s="809">
        <v>33.299999999999997</v>
      </c>
      <c r="F82" s="809">
        <v>62</v>
      </c>
      <c r="G82" s="809">
        <v>66.7</v>
      </c>
      <c r="H82" s="809">
        <v>0</v>
      </c>
      <c r="I82" s="809">
        <v>0</v>
      </c>
      <c r="J82" s="837">
        <v>4.7</v>
      </c>
      <c r="L82" s="766" t="s">
        <v>142</v>
      </c>
      <c r="M82" s="836">
        <v>93</v>
      </c>
      <c r="N82" s="809">
        <v>0</v>
      </c>
      <c r="O82" s="809">
        <v>93</v>
      </c>
      <c r="P82" s="809">
        <v>0</v>
      </c>
      <c r="Q82" s="809">
        <v>0</v>
      </c>
      <c r="R82" s="809">
        <v>0</v>
      </c>
      <c r="S82" s="809">
        <v>0</v>
      </c>
      <c r="T82" s="809">
        <v>0</v>
      </c>
      <c r="U82" s="838">
        <v>0</v>
      </c>
      <c r="V82" s="839">
        <v>0</v>
      </c>
      <c r="W82" s="836">
        <v>0</v>
      </c>
      <c r="X82" s="840">
        <v>0</v>
      </c>
      <c r="Y82" s="841">
        <v>0</v>
      </c>
    </row>
    <row r="83" spans="1:25">
      <c r="A83" s="766" t="s">
        <v>143</v>
      </c>
      <c r="B83" s="836">
        <v>185</v>
      </c>
      <c r="C83" s="809">
        <v>100</v>
      </c>
      <c r="D83" s="809">
        <v>185</v>
      </c>
      <c r="E83" s="809">
        <v>100</v>
      </c>
      <c r="F83" s="809">
        <v>0</v>
      </c>
      <c r="G83" s="809">
        <v>0</v>
      </c>
      <c r="H83" s="809">
        <v>0</v>
      </c>
      <c r="I83" s="809">
        <v>0</v>
      </c>
      <c r="J83" s="837">
        <v>6</v>
      </c>
      <c r="L83" s="766" t="s">
        <v>143</v>
      </c>
      <c r="M83" s="836">
        <v>185</v>
      </c>
      <c r="N83" s="809">
        <v>0</v>
      </c>
      <c r="O83" s="809">
        <v>124</v>
      </c>
      <c r="P83" s="809">
        <v>0</v>
      </c>
      <c r="Q83" s="809">
        <v>62</v>
      </c>
      <c r="R83" s="809">
        <v>0.1</v>
      </c>
      <c r="S83" s="809">
        <v>0</v>
      </c>
      <c r="T83" s="809">
        <v>0</v>
      </c>
      <c r="U83" s="838">
        <v>0</v>
      </c>
      <c r="V83" s="839">
        <v>0</v>
      </c>
      <c r="W83" s="836">
        <v>0</v>
      </c>
      <c r="X83" s="840">
        <v>0</v>
      </c>
      <c r="Y83" s="841">
        <v>0</v>
      </c>
    </row>
    <row r="84" spans="1:25">
      <c r="A84" s="766" t="s">
        <v>144</v>
      </c>
      <c r="B84" s="836">
        <v>6519</v>
      </c>
      <c r="C84" s="809">
        <v>100</v>
      </c>
      <c r="D84" s="809">
        <v>3120</v>
      </c>
      <c r="E84" s="809">
        <v>47.9</v>
      </c>
      <c r="F84" s="809">
        <v>3089</v>
      </c>
      <c r="G84" s="809">
        <v>47.4</v>
      </c>
      <c r="H84" s="809">
        <v>309</v>
      </c>
      <c r="I84" s="809">
        <v>4.7</v>
      </c>
      <c r="J84" s="837">
        <v>11.7</v>
      </c>
      <c r="L84" s="766" t="s">
        <v>144</v>
      </c>
      <c r="M84" s="836">
        <v>6519</v>
      </c>
      <c r="N84" s="809">
        <v>1</v>
      </c>
      <c r="O84" s="809">
        <v>4449</v>
      </c>
      <c r="P84" s="809">
        <v>0.8</v>
      </c>
      <c r="Q84" s="809">
        <v>989</v>
      </c>
      <c r="R84" s="809">
        <v>1</v>
      </c>
      <c r="S84" s="809">
        <v>649</v>
      </c>
      <c r="T84" s="809">
        <v>0.9</v>
      </c>
      <c r="U84" s="838">
        <v>370.7</v>
      </c>
      <c r="V84" s="839">
        <v>2.9</v>
      </c>
      <c r="W84" s="836">
        <v>62</v>
      </c>
      <c r="X84" s="840">
        <v>2</v>
      </c>
      <c r="Y84" s="841">
        <v>36.5</v>
      </c>
    </row>
    <row r="85" spans="1:25">
      <c r="A85" s="766" t="s">
        <v>145</v>
      </c>
      <c r="B85" s="836">
        <v>618</v>
      </c>
      <c r="C85" s="809">
        <v>100</v>
      </c>
      <c r="D85" s="809">
        <v>463</v>
      </c>
      <c r="E85" s="809">
        <v>75</v>
      </c>
      <c r="F85" s="809">
        <v>93</v>
      </c>
      <c r="G85" s="809">
        <v>15</v>
      </c>
      <c r="H85" s="809">
        <v>62</v>
      </c>
      <c r="I85" s="809">
        <v>10</v>
      </c>
      <c r="J85" s="837">
        <v>16.100000000000001</v>
      </c>
      <c r="L85" s="766" t="s">
        <v>145</v>
      </c>
      <c r="M85" s="836">
        <v>618</v>
      </c>
      <c r="N85" s="809">
        <v>0</v>
      </c>
      <c r="O85" s="809">
        <v>247</v>
      </c>
      <c r="P85" s="809">
        <v>0</v>
      </c>
      <c r="Q85" s="809">
        <v>216</v>
      </c>
      <c r="R85" s="809">
        <v>0.2</v>
      </c>
      <c r="S85" s="809">
        <v>93</v>
      </c>
      <c r="T85" s="809">
        <v>0.1</v>
      </c>
      <c r="U85" s="838">
        <v>61.8</v>
      </c>
      <c r="V85" s="839">
        <v>0.5</v>
      </c>
      <c r="W85" s="836">
        <v>0</v>
      </c>
      <c r="X85" s="840">
        <v>0</v>
      </c>
      <c r="Y85" s="841">
        <v>20</v>
      </c>
    </row>
    <row r="86" spans="1:25">
      <c r="A86" s="766" t="s">
        <v>146</v>
      </c>
      <c r="B86" s="836">
        <v>31</v>
      </c>
      <c r="C86" s="809">
        <v>100</v>
      </c>
      <c r="D86" s="809">
        <v>31</v>
      </c>
      <c r="E86" s="809">
        <v>100</v>
      </c>
      <c r="F86" s="809">
        <v>0</v>
      </c>
      <c r="G86" s="809">
        <v>0</v>
      </c>
      <c r="H86" s="809">
        <v>0</v>
      </c>
      <c r="I86" s="809">
        <v>0</v>
      </c>
      <c r="J86" s="837">
        <v>4</v>
      </c>
      <c r="L86" s="766" t="s">
        <v>146</v>
      </c>
      <c r="M86" s="836">
        <v>31</v>
      </c>
      <c r="N86" s="809">
        <v>0</v>
      </c>
      <c r="O86" s="809">
        <v>31</v>
      </c>
      <c r="P86" s="809">
        <v>0</v>
      </c>
      <c r="Q86" s="809">
        <v>0</v>
      </c>
      <c r="R86" s="809">
        <v>0</v>
      </c>
      <c r="S86" s="809">
        <v>0</v>
      </c>
      <c r="T86" s="809">
        <v>0</v>
      </c>
      <c r="U86" s="838">
        <v>0</v>
      </c>
      <c r="V86" s="839">
        <v>0</v>
      </c>
      <c r="W86" s="836">
        <v>0</v>
      </c>
      <c r="X86" s="840">
        <v>0</v>
      </c>
      <c r="Y86" s="841">
        <v>100</v>
      </c>
    </row>
    <row r="87" spans="1:25">
      <c r="A87" s="766" t="s">
        <v>147</v>
      </c>
      <c r="B87" s="836">
        <v>31</v>
      </c>
      <c r="C87" s="809">
        <v>100</v>
      </c>
      <c r="D87" s="809">
        <v>0</v>
      </c>
      <c r="E87" s="809">
        <v>0</v>
      </c>
      <c r="F87" s="809">
        <v>31</v>
      </c>
      <c r="G87" s="809">
        <v>100</v>
      </c>
      <c r="H87" s="809">
        <v>0</v>
      </c>
      <c r="I87" s="809">
        <v>0</v>
      </c>
      <c r="J87" s="837">
        <v>6</v>
      </c>
      <c r="L87" s="766" t="s">
        <v>147</v>
      </c>
      <c r="M87" s="836">
        <v>31</v>
      </c>
      <c r="N87" s="809">
        <v>0</v>
      </c>
      <c r="O87" s="809">
        <v>31</v>
      </c>
      <c r="P87" s="809">
        <v>0</v>
      </c>
      <c r="Q87" s="809">
        <v>0</v>
      </c>
      <c r="R87" s="809">
        <v>0</v>
      </c>
      <c r="S87" s="809">
        <v>0</v>
      </c>
      <c r="T87" s="809">
        <v>0</v>
      </c>
      <c r="U87" s="838">
        <v>0</v>
      </c>
      <c r="V87" s="839">
        <v>0</v>
      </c>
      <c r="W87" s="836">
        <v>0</v>
      </c>
      <c r="X87" s="840">
        <v>0</v>
      </c>
      <c r="Y87" s="841">
        <v>0</v>
      </c>
    </row>
    <row r="88" spans="1:25">
      <c r="A88" s="766" t="s">
        <v>148</v>
      </c>
      <c r="B88" s="836">
        <v>278</v>
      </c>
      <c r="C88" s="809">
        <v>100</v>
      </c>
      <c r="D88" s="809">
        <v>247</v>
      </c>
      <c r="E88" s="809">
        <v>88.9</v>
      </c>
      <c r="F88" s="809">
        <v>31</v>
      </c>
      <c r="G88" s="809">
        <v>11.1</v>
      </c>
      <c r="H88" s="809">
        <v>0</v>
      </c>
      <c r="I88" s="809">
        <v>0</v>
      </c>
      <c r="J88" s="837">
        <v>13.1</v>
      </c>
      <c r="L88" s="766" t="s">
        <v>148</v>
      </c>
      <c r="M88" s="836">
        <v>278</v>
      </c>
      <c r="N88" s="809">
        <v>0</v>
      </c>
      <c r="O88" s="809">
        <v>62</v>
      </c>
      <c r="P88" s="809">
        <v>0</v>
      </c>
      <c r="Q88" s="809">
        <v>0</v>
      </c>
      <c r="R88" s="809">
        <v>0</v>
      </c>
      <c r="S88" s="809">
        <v>216</v>
      </c>
      <c r="T88" s="809">
        <v>0.3</v>
      </c>
      <c r="U88" s="838">
        <v>0</v>
      </c>
      <c r="V88" s="839">
        <v>0</v>
      </c>
      <c r="W88" s="836">
        <v>0</v>
      </c>
      <c r="X88" s="840">
        <v>0</v>
      </c>
      <c r="Y88" s="841">
        <v>22.2</v>
      </c>
    </row>
    <row r="89" spans="1:25">
      <c r="A89" s="766" t="s">
        <v>149</v>
      </c>
      <c r="B89" s="836">
        <v>2595</v>
      </c>
      <c r="C89" s="809">
        <v>100</v>
      </c>
      <c r="D89" s="809">
        <v>1792</v>
      </c>
      <c r="E89" s="809">
        <v>69</v>
      </c>
      <c r="F89" s="809">
        <v>772</v>
      </c>
      <c r="G89" s="809">
        <v>29.8</v>
      </c>
      <c r="H89" s="809">
        <v>31</v>
      </c>
      <c r="I89" s="809">
        <v>1.2</v>
      </c>
      <c r="J89" s="837">
        <v>10.199999999999999</v>
      </c>
      <c r="L89" s="766" t="s">
        <v>149</v>
      </c>
      <c r="M89" s="836">
        <v>2595</v>
      </c>
      <c r="N89" s="809">
        <v>0</v>
      </c>
      <c r="O89" s="809">
        <v>1699</v>
      </c>
      <c r="P89" s="809">
        <v>0.3</v>
      </c>
      <c r="Q89" s="809">
        <v>433</v>
      </c>
      <c r="R89" s="809">
        <v>0.5</v>
      </c>
      <c r="S89" s="809">
        <v>402</v>
      </c>
      <c r="T89" s="809">
        <v>0.5</v>
      </c>
      <c r="U89" s="838">
        <v>61.8</v>
      </c>
      <c r="V89" s="839">
        <v>0.5</v>
      </c>
      <c r="W89" s="836">
        <v>0</v>
      </c>
      <c r="X89" s="840">
        <v>0</v>
      </c>
      <c r="Y89" s="841">
        <v>28.6</v>
      </c>
    </row>
    <row r="90" spans="1:25">
      <c r="A90" s="766" t="s">
        <v>150</v>
      </c>
      <c r="B90" s="836">
        <v>3275</v>
      </c>
      <c r="C90" s="809">
        <v>100</v>
      </c>
      <c r="D90" s="809">
        <v>1699</v>
      </c>
      <c r="E90" s="809">
        <v>51.9</v>
      </c>
      <c r="F90" s="809">
        <v>1545</v>
      </c>
      <c r="G90" s="809">
        <v>47.2</v>
      </c>
      <c r="H90" s="809">
        <v>31</v>
      </c>
      <c r="I90" s="809">
        <v>0.9</v>
      </c>
      <c r="J90" s="837">
        <v>8.1</v>
      </c>
      <c r="L90" s="766" t="s">
        <v>150</v>
      </c>
      <c r="M90" s="836">
        <v>3275</v>
      </c>
      <c r="N90" s="809">
        <v>0</v>
      </c>
      <c r="O90" s="809">
        <v>2132</v>
      </c>
      <c r="P90" s="809">
        <v>0.4</v>
      </c>
      <c r="Q90" s="809">
        <v>803</v>
      </c>
      <c r="R90" s="809">
        <v>0.8</v>
      </c>
      <c r="S90" s="809">
        <v>340</v>
      </c>
      <c r="T90" s="809">
        <v>0.4</v>
      </c>
      <c r="U90" s="838">
        <v>0</v>
      </c>
      <c r="V90" s="839">
        <v>0</v>
      </c>
      <c r="W90" s="836">
        <v>0</v>
      </c>
      <c r="X90" s="840">
        <v>0</v>
      </c>
      <c r="Y90" s="841">
        <v>15.1</v>
      </c>
    </row>
    <row r="91" spans="1:25">
      <c r="A91" s="766" t="s">
        <v>151</v>
      </c>
      <c r="B91" s="836">
        <v>772</v>
      </c>
      <c r="C91" s="809">
        <v>100</v>
      </c>
      <c r="D91" s="809">
        <v>371</v>
      </c>
      <c r="E91" s="809">
        <v>48</v>
      </c>
      <c r="F91" s="809">
        <v>371</v>
      </c>
      <c r="G91" s="809">
        <v>48</v>
      </c>
      <c r="H91" s="809">
        <v>31</v>
      </c>
      <c r="I91" s="809">
        <v>4</v>
      </c>
      <c r="J91" s="837">
        <v>10.199999999999999</v>
      </c>
      <c r="L91" s="766" t="s">
        <v>151</v>
      </c>
      <c r="M91" s="836">
        <v>772</v>
      </c>
      <c r="N91" s="809">
        <v>0</v>
      </c>
      <c r="O91" s="809">
        <v>371</v>
      </c>
      <c r="P91" s="809">
        <v>0.1</v>
      </c>
      <c r="Q91" s="809">
        <v>247</v>
      </c>
      <c r="R91" s="809">
        <v>0.3</v>
      </c>
      <c r="S91" s="809">
        <v>154</v>
      </c>
      <c r="T91" s="809">
        <v>0.2</v>
      </c>
      <c r="U91" s="838">
        <v>0</v>
      </c>
      <c r="V91" s="839">
        <v>0</v>
      </c>
      <c r="W91" s="836">
        <v>0</v>
      </c>
      <c r="X91" s="840">
        <v>0</v>
      </c>
      <c r="Y91" s="841">
        <v>12</v>
      </c>
    </row>
    <row r="92" spans="1:25">
      <c r="A92" s="766" t="s">
        <v>152</v>
      </c>
      <c r="B92" s="836">
        <v>216</v>
      </c>
      <c r="C92" s="809">
        <v>100</v>
      </c>
      <c r="D92" s="809">
        <v>0</v>
      </c>
      <c r="E92" s="809">
        <v>0</v>
      </c>
      <c r="F92" s="809">
        <v>216</v>
      </c>
      <c r="G92" s="809">
        <v>100</v>
      </c>
      <c r="H92" s="809">
        <v>0</v>
      </c>
      <c r="I92" s="809">
        <v>0</v>
      </c>
      <c r="J92" s="837">
        <v>5.6</v>
      </c>
      <c r="L92" s="766" t="s">
        <v>152</v>
      </c>
      <c r="M92" s="836">
        <v>216</v>
      </c>
      <c r="N92" s="809">
        <v>0</v>
      </c>
      <c r="O92" s="809">
        <v>216</v>
      </c>
      <c r="P92" s="809">
        <v>0</v>
      </c>
      <c r="Q92" s="809">
        <v>0</v>
      </c>
      <c r="R92" s="809">
        <v>0</v>
      </c>
      <c r="S92" s="809">
        <v>0</v>
      </c>
      <c r="T92" s="809">
        <v>0</v>
      </c>
      <c r="U92" s="838">
        <v>0</v>
      </c>
      <c r="V92" s="839">
        <v>0</v>
      </c>
      <c r="W92" s="836">
        <v>0</v>
      </c>
      <c r="X92" s="840">
        <v>0</v>
      </c>
      <c r="Y92" s="841">
        <v>0</v>
      </c>
    </row>
    <row r="93" spans="1:25" ht="51">
      <c r="A93" s="766" t="s">
        <v>153</v>
      </c>
      <c r="B93" s="836">
        <v>62</v>
      </c>
      <c r="C93" s="809">
        <v>100</v>
      </c>
      <c r="D93" s="809">
        <v>31</v>
      </c>
      <c r="E93" s="809">
        <v>50</v>
      </c>
      <c r="F93" s="809">
        <v>31</v>
      </c>
      <c r="G93" s="809">
        <v>50</v>
      </c>
      <c r="H93" s="809">
        <v>0</v>
      </c>
      <c r="I93" s="809">
        <v>0</v>
      </c>
      <c r="J93" s="837">
        <v>10</v>
      </c>
      <c r="L93" s="766" t="s">
        <v>153</v>
      </c>
      <c r="M93" s="836">
        <v>62</v>
      </c>
      <c r="N93" s="809">
        <v>0</v>
      </c>
      <c r="O93" s="809">
        <v>31</v>
      </c>
      <c r="P93" s="809">
        <v>0</v>
      </c>
      <c r="Q93" s="809">
        <v>0</v>
      </c>
      <c r="R93" s="809">
        <v>0</v>
      </c>
      <c r="S93" s="809">
        <v>31</v>
      </c>
      <c r="T93" s="809">
        <v>0</v>
      </c>
      <c r="U93" s="838">
        <v>0</v>
      </c>
      <c r="V93" s="839">
        <v>0</v>
      </c>
      <c r="W93" s="836">
        <v>0</v>
      </c>
      <c r="X93" s="840">
        <v>0</v>
      </c>
      <c r="Y93" s="841">
        <v>0</v>
      </c>
    </row>
    <row r="94" spans="1:25" ht="38.25">
      <c r="A94" s="766" t="s">
        <v>154</v>
      </c>
      <c r="B94" s="836">
        <v>525</v>
      </c>
      <c r="C94" s="809">
        <v>100</v>
      </c>
      <c r="D94" s="809">
        <v>278</v>
      </c>
      <c r="E94" s="809">
        <v>52.9</v>
      </c>
      <c r="F94" s="809">
        <v>247</v>
      </c>
      <c r="G94" s="809">
        <v>47.1</v>
      </c>
      <c r="H94" s="809">
        <v>0</v>
      </c>
      <c r="I94" s="809">
        <v>0</v>
      </c>
      <c r="J94" s="837">
        <v>15.5</v>
      </c>
      <c r="L94" s="766" t="s">
        <v>154</v>
      </c>
      <c r="M94" s="836">
        <v>525</v>
      </c>
      <c r="N94" s="809">
        <v>0</v>
      </c>
      <c r="O94" s="809">
        <v>62</v>
      </c>
      <c r="P94" s="809">
        <v>0</v>
      </c>
      <c r="Q94" s="809">
        <v>278</v>
      </c>
      <c r="R94" s="809">
        <v>0.3</v>
      </c>
      <c r="S94" s="809">
        <v>185</v>
      </c>
      <c r="T94" s="809">
        <v>0.2</v>
      </c>
      <c r="U94" s="838">
        <v>0</v>
      </c>
      <c r="V94" s="839">
        <v>0</v>
      </c>
      <c r="W94" s="836">
        <v>0</v>
      </c>
      <c r="X94" s="840">
        <v>0</v>
      </c>
      <c r="Y94" s="841">
        <v>23.5</v>
      </c>
    </row>
    <row r="95" spans="1:25">
      <c r="A95" s="766" t="s">
        <v>155</v>
      </c>
      <c r="B95" s="836">
        <v>402</v>
      </c>
      <c r="C95" s="809">
        <v>100</v>
      </c>
      <c r="D95" s="809">
        <v>31</v>
      </c>
      <c r="E95" s="809">
        <v>7.7</v>
      </c>
      <c r="F95" s="809">
        <v>371</v>
      </c>
      <c r="G95" s="809">
        <v>92.3</v>
      </c>
      <c r="H95" s="809">
        <v>0</v>
      </c>
      <c r="I95" s="809">
        <v>0</v>
      </c>
      <c r="J95" s="837">
        <v>27.3</v>
      </c>
      <c r="L95" s="766" t="s">
        <v>155</v>
      </c>
      <c r="M95" s="836">
        <v>402</v>
      </c>
      <c r="N95" s="809">
        <v>0</v>
      </c>
      <c r="O95" s="809">
        <v>124</v>
      </c>
      <c r="P95" s="809">
        <v>0</v>
      </c>
      <c r="Q95" s="809">
        <v>154</v>
      </c>
      <c r="R95" s="809">
        <v>0.2</v>
      </c>
      <c r="S95" s="809">
        <v>31</v>
      </c>
      <c r="T95" s="809">
        <v>0</v>
      </c>
      <c r="U95" s="838">
        <v>92.7</v>
      </c>
      <c r="V95" s="839">
        <v>0.7</v>
      </c>
      <c r="W95" s="836">
        <v>0</v>
      </c>
      <c r="X95" s="840">
        <v>0</v>
      </c>
      <c r="Y95" s="841">
        <v>0</v>
      </c>
    </row>
    <row r="96" spans="1:25">
      <c r="A96" s="766" t="s">
        <v>156</v>
      </c>
      <c r="B96" s="836">
        <v>31</v>
      </c>
      <c r="C96" s="809">
        <v>100</v>
      </c>
      <c r="D96" s="809">
        <v>0</v>
      </c>
      <c r="E96" s="809">
        <v>0</v>
      </c>
      <c r="F96" s="809">
        <v>31</v>
      </c>
      <c r="G96" s="809">
        <v>100</v>
      </c>
      <c r="H96" s="809">
        <v>0</v>
      </c>
      <c r="I96" s="809">
        <v>0</v>
      </c>
      <c r="J96" s="837">
        <v>65</v>
      </c>
      <c r="L96" s="766" t="s">
        <v>156</v>
      </c>
      <c r="M96" s="836">
        <v>31</v>
      </c>
      <c r="N96" s="809">
        <v>0</v>
      </c>
      <c r="O96" s="809">
        <v>0</v>
      </c>
      <c r="P96" s="809">
        <v>0</v>
      </c>
      <c r="Q96" s="809">
        <v>0</v>
      </c>
      <c r="R96" s="809">
        <v>0</v>
      </c>
      <c r="S96" s="809">
        <v>0</v>
      </c>
      <c r="T96" s="809">
        <v>0</v>
      </c>
      <c r="U96" s="838">
        <v>30.9</v>
      </c>
      <c r="V96" s="839">
        <v>0.2</v>
      </c>
      <c r="W96" s="836">
        <v>0</v>
      </c>
      <c r="X96" s="840">
        <v>0</v>
      </c>
      <c r="Y96" s="841">
        <v>0</v>
      </c>
    </row>
    <row r="97" spans="1:25">
      <c r="A97" s="766" t="s">
        <v>157</v>
      </c>
      <c r="B97" s="836">
        <v>93</v>
      </c>
      <c r="C97" s="809">
        <v>100</v>
      </c>
      <c r="D97" s="809">
        <v>62</v>
      </c>
      <c r="E97" s="809">
        <v>66.7</v>
      </c>
      <c r="F97" s="809">
        <v>31</v>
      </c>
      <c r="G97" s="809">
        <v>33.299999999999997</v>
      </c>
      <c r="H97" s="809">
        <v>0</v>
      </c>
      <c r="I97" s="809">
        <v>0</v>
      </c>
      <c r="J97" s="837">
        <v>3.3</v>
      </c>
      <c r="L97" s="766" t="s">
        <v>157</v>
      </c>
      <c r="M97" s="836">
        <v>93</v>
      </c>
      <c r="N97" s="809">
        <v>0</v>
      </c>
      <c r="O97" s="809">
        <v>62</v>
      </c>
      <c r="P97" s="809">
        <v>0</v>
      </c>
      <c r="Q97" s="809">
        <v>31</v>
      </c>
      <c r="R97" s="809">
        <v>0</v>
      </c>
      <c r="S97" s="809">
        <v>0</v>
      </c>
      <c r="T97" s="809">
        <v>0</v>
      </c>
      <c r="U97" s="838">
        <v>0</v>
      </c>
      <c r="V97" s="839">
        <v>0</v>
      </c>
      <c r="W97" s="836">
        <v>0</v>
      </c>
      <c r="X97" s="840">
        <v>0</v>
      </c>
      <c r="Y97" s="841">
        <v>0</v>
      </c>
    </row>
    <row r="98" spans="1:25">
      <c r="A98" s="766" t="s">
        <v>158</v>
      </c>
      <c r="B98" s="836">
        <v>7446</v>
      </c>
      <c r="C98" s="809">
        <v>100</v>
      </c>
      <c r="D98" s="809">
        <v>3707</v>
      </c>
      <c r="E98" s="809">
        <v>49.8</v>
      </c>
      <c r="F98" s="809">
        <v>3398</v>
      </c>
      <c r="G98" s="809">
        <v>45.6</v>
      </c>
      <c r="H98" s="809">
        <v>340</v>
      </c>
      <c r="I98" s="809">
        <v>4.5999999999999996</v>
      </c>
      <c r="J98" s="837">
        <v>13.4</v>
      </c>
      <c r="L98" s="766" t="s">
        <v>158</v>
      </c>
      <c r="M98" s="836">
        <v>7446</v>
      </c>
      <c r="N98" s="809">
        <v>1</v>
      </c>
      <c r="O98" s="809">
        <v>3522</v>
      </c>
      <c r="P98" s="809">
        <v>0.6</v>
      </c>
      <c r="Q98" s="809">
        <v>1946</v>
      </c>
      <c r="R98" s="809">
        <v>2</v>
      </c>
      <c r="S98" s="809">
        <v>1823</v>
      </c>
      <c r="T98" s="809">
        <v>2.4</v>
      </c>
      <c r="U98" s="838">
        <v>0</v>
      </c>
      <c r="V98" s="839">
        <v>0</v>
      </c>
      <c r="W98" s="836">
        <v>154</v>
      </c>
      <c r="X98" s="840">
        <v>5</v>
      </c>
      <c r="Y98" s="841">
        <v>13.7</v>
      </c>
    </row>
    <row r="99" spans="1:25">
      <c r="A99" s="766" t="s">
        <v>159</v>
      </c>
      <c r="B99" s="836">
        <v>309</v>
      </c>
      <c r="C99" s="809">
        <v>100</v>
      </c>
      <c r="D99" s="809">
        <v>124</v>
      </c>
      <c r="E99" s="809">
        <v>40</v>
      </c>
      <c r="F99" s="809">
        <v>185</v>
      </c>
      <c r="G99" s="809">
        <v>60</v>
      </c>
      <c r="H99" s="809">
        <v>0</v>
      </c>
      <c r="I99" s="809">
        <v>0</v>
      </c>
      <c r="J99" s="837">
        <v>9.4</v>
      </c>
      <c r="L99" s="766" t="s">
        <v>159</v>
      </c>
      <c r="M99" s="836">
        <v>309</v>
      </c>
      <c r="N99" s="809">
        <v>0</v>
      </c>
      <c r="O99" s="809">
        <v>154</v>
      </c>
      <c r="P99" s="809">
        <v>0</v>
      </c>
      <c r="Q99" s="809">
        <v>93</v>
      </c>
      <c r="R99" s="809">
        <v>0.1</v>
      </c>
      <c r="S99" s="809">
        <v>62</v>
      </c>
      <c r="T99" s="809">
        <v>0.1</v>
      </c>
      <c r="U99" s="838">
        <v>0</v>
      </c>
      <c r="V99" s="839">
        <v>0</v>
      </c>
      <c r="W99" s="836">
        <v>0</v>
      </c>
      <c r="X99" s="840">
        <v>0</v>
      </c>
      <c r="Y99" s="841">
        <v>10</v>
      </c>
    </row>
    <row r="100" spans="1:25">
      <c r="A100" s="766" t="s">
        <v>160</v>
      </c>
      <c r="B100" s="836">
        <v>2904</v>
      </c>
      <c r="C100" s="809">
        <v>100</v>
      </c>
      <c r="D100" s="809">
        <v>1112</v>
      </c>
      <c r="E100" s="809">
        <v>38.299999999999997</v>
      </c>
      <c r="F100" s="809">
        <v>1761</v>
      </c>
      <c r="G100" s="809">
        <v>60.6</v>
      </c>
      <c r="H100" s="809">
        <v>31</v>
      </c>
      <c r="I100" s="809">
        <v>1.1000000000000001</v>
      </c>
      <c r="J100" s="837">
        <v>15.1</v>
      </c>
      <c r="L100" s="766" t="s">
        <v>160</v>
      </c>
      <c r="M100" s="836">
        <v>2904</v>
      </c>
      <c r="N100" s="809">
        <v>0</v>
      </c>
      <c r="O100" s="809">
        <v>1576</v>
      </c>
      <c r="P100" s="809">
        <v>0.3</v>
      </c>
      <c r="Q100" s="809">
        <v>587</v>
      </c>
      <c r="R100" s="809">
        <v>0.6</v>
      </c>
      <c r="S100" s="809">
        <v>494</v>
      </c>
      <c r="T100" s="809">
        <v>0.7</v>
      </c>
      <c r="U100" s="838">
        <v>185.4</v>
      </c>
      <c r="V100" s="839">
        <v>1.5</v>
      </c>
      <c r="W100" s="836">
        <v>62</v>
      </c>
      <c r="X100" s="840">
        <v>2</v>
      </c>
      <c r="Y100" s="841">
        <v>24.5</v>
      </c>
    </row>
    <row r="101" spans="1:25">
      <c r="A101" s="766" t="s">
        <v>161</v>
      </c>
      <c r="B101" s="836">
        <v>649</v>
      </c>
      <c r="C101" s="809">
        <v>100</v>
      </c>
      <c r="D101" s="809">
        <v>185</v>
      </c>
      <c r="E101" s="809">
        <v>28.6</v>
      </c>
      <c r="F101" s="809">
        <v>463</v>
      </c>
      <c r="G101" s="809">
        <v>71.400000000000006</v>
      </c>
      <c r="H101" s="809">
        <v>0</v>
      </c>
      <c r="I101" s="809">
        <v>0</v>
      </c>
      <c r="J101" s="837">
        <v>24</v>
      </c>
      <c r="L101" s="766" t="s">
        <v>161</v>
      </c>
      <c r="M101" s="836">
        <v>649</v>
      </c>
      <c r="N101" s="809">
        <v>0</v>
      </c>
      <c r="O101" s="809">
        <v>433</v>
      </c>
      <c r="P101" s="809">
        <v>0.1</v>
      </c>
      <c r="Q101" s="809">
        <v>31</v>
      </c>
      <c r="R101" s="809">
        <v>0</v>
      </c>
      <c r="S101" s="809">
        <v>0</v>
      </c>
      <c r="T101" s="809">
        <v>0</v>
      </c>
      <c r="U101" s="838">
        <v>185.4</v>
      </c>
      <c r="V101" s="839">
        <v>1.5</v>
      </c>
      <c r="W101" s="836">
        <v>0</v>
      </c>
      <c r="X101" s="840">
        <v>0</v>
      </c>
      <c r="Y101" s="841">
        <v>33.299999999999997</v>
      </c>
    </row>
    <row r="102" spans="1:25">
      <c r="A102" s="766" t="s">
        <v>162</v>
      </c>
      <c r="B102" s="836">
        <v>31</v>
      </c>
      <c r="C102" s="809">
        <v>100</v>
      </c>
      <c r="D102" s="809">
        <v>0</v>
      </c>
      <c r="E102" s="809">
        <v>0</v>
      </c>
      <c r="F102" s="809">
        <v>31</v>
      </c>
      <c r="G102" s="809">
        <v>100</v>
      </c>
      <c r="H102" s="809">
        <v>0</v>
      </c>
      <c r="I102" s="809">
        <v>0</v>
      </c>
      <c r="J102" s="837">
        <v>45</v>
      </c>
      <c r="L102" s="766" t="s">
        <v>162</v>
      </c>
      <c r="M102" s="836">
        <v>31</v>
      </c>
      <c r="N102" s="809">
        <v>0</v>
      </c>
      <c r="O102" s="809">
        <v>0</v>
      </c>
      <c r="P102" s="809">
        <v>0</v>
      </c>
      <c r="Q102" s="809">
        <v>0</v>
      </c>
      <c r="R102" s="809">
        <v>0</v>
      </c>
      <c r="S102" s="809">
        <v>31</v>
      </c>
      <c r="T102" s="809">
        <v>0</v>
      </c>
      <c r="U102" s="838">
        <v>0</v>
      </c>
      <c r="V102" s="839">
        <v>0</v>
      </c>
      <c r="W102" s="836">
        <v>0</v>
      </c>
      <c r="X102" s="840">
        <v>0</v>
      </c>
      <c r="Y102" s="841">
        <v>0</v>
      </c>
    </row>
    <row r="103" spans="1:25">
      <c r="A103" s="766" t="s">
        <v>163</v>
      </c>
      <c r="B103" s="836">
        <v>62</v>
      </c>
      <c r="C103" s="809">
        <v>100</v>
      </c>
      <c r="D103" s="809">
        <v>0</v>
      </c>
      <c r="E103" s="809">
        <v>0</v>
      </c>
      <c r="F103" s="809">
        <v>62</v>
      </c>
      <c r="G103" s="809">
        <v>100</v>
      </c>
      <c r="H103" s="809">
        <v>0</v>
      </c>
      <c r="I103" s="809">
        <v>0</v>
      </c>
      <c r="J103" s="837">
        <v>12</v>
      </c>
      <c r="L103" s="766" t="s">
        <v>163</v>
      </c>
      <c r="M103" s="836">
        <v>62</v>
      </c>
      <c r="N103" s="809">
        <v>0</v>
      </c>
      <c r="O103" s="809">
        <v>0</v>
      </c>
      <c r="P103" s="809">
        <v>0</v>
      </c>
      <c r="Q103" s="809">
        <v>62</v>
      </c>
      <c r="R103" s="809">
        <v>0.1</v>
      </c>
      <c r="S103" s="809">
        <v>0</v>
      </c>
      <c r="T103" s="809">
        <v>0</v>
      </c>
      <c r="U103" s="838">
        <v>0</v>
      </c>
      <c r="V103" s="839">
        <v>0</v>
      </c>
      <c r="W103" s="836">
        <v>0</v>
      </c>
      <c r="X103" s="840">
        <v>0</v>
      </c>
      <c r="Y103" s="841">
        <v>0</v>
      </c>
    </row>
    <row r="104" spans="1:25" ht="25.5">
      <c r="A104" s="766" t="s">
        <v>164</v>
      </c>
      <c r="B104" s="836">
        <v>154</v>
      </c>
      <c r="C104" s="809">
        <v>100</v>
      </c>
      <c r="D104" s="809">
        <v>154</v>
      </c>
      <c r="E104" s="809">
        <v>100</v>
      </c>
      <c r="F104" s="809">
        <v>0</v>
      </c>
      <c r="G104" s="809">
        <v>0</v>
      </c>
      <c r="H104" s="809">
        <v>0</v>
      </c>
      <c r="I104" s="809">
        <v>0</v>
      </c>
      <c r="J104" s="837">
        <v>4.5999999999999996</v>
      </c>
      <c r="L104" s="766" t="s">
        <v>164</v>
      </c>
      <c r="M104" s="836">
        <v>154</v>
      </c>
      <c r="N104" s="809">
        <v>0</v>
      </c>
      <c r="O104" s="809">
        <v>93</v>
      </c>
      <c r="P104" s="809">
        <v>0</v>
      </c>
      <c r="Q104" s="809">
        <v>62</v>
      </c>
      <c r="R104" s="809">
        <v>0.1</v>
      </c>
      <c r="S104" s="809">
        <v>0</v>
      </c>
      <c r="T104" s="809">
        <v>0</v>
      </c>
      <c r="U104" s="838">
        <v>0</v>
      </c>
      <c r="V104" s="839">
        <v>0</v>
      </c>
      <c r="W104" s="836">
        <v>0</v>
      </c>
      <c r="X104" s="840">
        <v>0</v>
      </c>
      <c r="Y104" s="841">
        <v>20</v>
      </c>
    </row>
    <row r="105" spans="1:25">
      <c r="A105" s="766" t="s">
        <v>165</v>
      </c>
      <c r="B105" s="836">
        <v>2255</v>
      </c>
      <c r="C105" s="809">
        <v>100</v>
      </c>
      <c r="D105" s="809">
        <v>1174</v>
      </c>
      <c r="E105" s="809">
        <v>52.1</v>
      </c>
      <c r="F105" s="809">
        <v>1020</v>
      </c>
      <c r="G105" s="809">
        <v>45.2</v>
      </c>
      <c r="H105" s="809">
        <v>62</v>
      </c>
      <c r="I105" s="809">
        <v>2.7</v>
      </c>
      <c r="J105" s="837">
        <v>17.5</v>
      </c>
      <c r="L105" s="766" t="s">
        <v>165</v>
      </c>
      <c r="M105" s="836">
        <v>2255</v>
      </c>
      <c r="N105" s="809">
        <v>0</v>
      </c>
      <c r="O105" s="809">
        <v>1143</v>
      </c>
      <c r="P105" s="809">
        <v>0.2</v>
      </c>
      <c r="Q105" s="809">
        <v>772</v>
      </c>
      <c r="R105" s="809">
        <v>0.8</v>
      </c>
      <c r="S105" s="809">
        <v>124</v>
      </c>
      <c r="T105" s="809">
        <v>0.2</v>
      </c>
      <c r="U105" s="838">
        <v>92.7</v>
      </c>
      <c r="V105" s="839">
        <v>0.7</v>
      </c>
      <c r="W105" s="836">
        <v>124</v>
      </c>
      <c r="X105" s="840">
        <v>4</v>
      </c>
      <c r="Y105" s="841">
        <v>13.7</v>
      </c>
    </row>
    <row r="106" spans="1:25">
      <c r="A106" s="766" t="s">
        <v>166</v>
      </c>
      <c r="B106" s="836">
        <v>340</v>
      </c>
      <c r="C106" s="809">
        <v>100</v>
      </c>
      <c r="D106" s="809">
        <v>340</v>
      </c>
      <c r="E106" s="809">
        <v>100</v>
      </c>
      <c r="F106" s="809">
        <v>0</v>
      </c>
      <c r="G106" s="809">
        <v>0</v>
      </c>
      <c r="H106" s="809">
        <v>0</v>
      </c>
      <c r="I106" s="809">
        <v>0</v>
      </c>
      <c r="J106" s="837">
        <v>19.100000000000001</v>
      </c>
      <c r="L106" s="766" t="s">
        <v>166</v>
      </c>
      <c r="M106" s="836">
        <v>340</v>
      </c>
      <c r="N106" s="809">
        <v>0</v>
      </c>
      <c r="O106" s="809">
        <v>124</v>
      </c>
      <c r="P106" s="809">
        <v>0</v>
      </c>
      <c r="Q106" s="809">
        <v>124</v>
      </c>
      <c r="R106" s="809">
        <v>0.1</v>
      </c>
      <c r="S106" s="809">
        <v>62</v>
      </c>
      <c r="T106" s="809">
        <v>0.1</v>
      </c>
      <c r="U106" s="838">
        <v>30.9</v>
      </c>
      <c r="V106" s="839">
        <v>0.2</v>
      </c>
      <c r="W106" s="836">
        <v>0</v>
      </c>
      <c r="X106" s="840">
        <v>0</v>
      </c>
      <c r="Y106" s="841">
        <v>0</v>
      </c>
    </row>
    <row r="107" spans="1:25">
      <c r="A107" s="766" t="s">
        <v>167</v>
      </c>
      <c r="B107" s="836">
        <v>31</v>
      </c>
      <c r="C107" s="809">
        <v>100</v>
      </c>
      <c r="D107" s="809">
        <v>31</v>
      </c>
      <c r="E107" s="809">
        <v>100</v>
      </c>
      <c r="F107" s="809">
        <v>0</v>
      </c>
      <c r="G107" s="809">
        <v>0</v>
      </c>
      <c r="H107" s="809">
        <v>0</v>
      </c>
      <c r="I107" s="809">
        <v>0</v>
      </c>
      <c r="J107" s="837">
        <v>5</v>
      </c>
      <c r="L107" s="766" t="s">
        <v>167</v>
      </c>
      <c r="M107" s="836">
        <v>31</v>
      </c>
      <c r="N107" s="809">
        <v>0</v>
      </c>
      <c r="O107" s="809">
        <v>31</v>
      </c>
      <c r="P107" s="809">
        <v>0</v>
      </c>
      <c r="Q107" s="809">
        <v>0</v>
      </c>
      <c r="R107" s="809">
        <v>0</v>
      </c>
      <c r="S107" s="809">
        <v>0</v>
      </c>
      <c r="T107" s="809">
        <v>0</v>
      </c>
      <c r="U107" s="838">
        <v>0</v>
      </c>
      <c r="V107" s="839">
        <v>0</v>
      </c>
      <c r="W107" s="836">
        <v>0</v>
      </c>
      <c r="X107" s="840">
        <v>0</v>
      </c>
      <c r="Y107" s="841">
        <v>100</v>
      </c>
    </row>
    <row r="108" spans="1:25">
      <c r="A108" s="766" t="s">
        <v>168</v>
      </c>
      <c r="B108" s="836">
        <v>772</v>
      </c>
      <c r="C108" s="809">
        <v>100</v>
      </c>
      <c r="D108" s="809">
        <v>402</v>
      </c>
      <c r="E108" s="809">
        <v>52</v>
      </c>
      <c r="F108" s="809">
        <v>371</v>
      </c>
      <c r="G108" s="809">
        <v>48</v>
      </c>
      <c r="H108" s="809">
        <v>0</v>
      </c>
      <c r="I108" s="809">
        <v>0</v>
      </c>
      <c r="J108" s="837">
        <v>13.2</v>
      </c>
      <c r="L108" s="766" t="s">
        <v>168</v>
      </c>
      <c r="M108" s="836">
        <v>772</v>
      </c>
      <c r="N108" s="809">
        <v>0</v>
      </c>
      <c r="O108" s="809">
        <v>216</v>
      </c>
      <c r="P108" s="809">
        <v>0</v>
      </c>
      <c r="Q108" s="809">
        <v>309</v>
      </c>
      <c r="R108" s="809">
        <v>0.3</v>
      </c>
      <c r="S108" s="809">
        <v>216</v>
      </c>
      <c r="T108" s="809">
        <v>0.3</v>
      </c>
      <c r="U108" s="838">
        <v>30.9</v>
      </c>
      <c r="V108" s="839">
        <v>0.2</v>
      </c>
      <c r="W108" s="836">
        <v>0</v>
      </c>
      <c r="X108" s="840">
        <v>0</v>
      </c>
      <c r="Y108" s="841">
        <v>8</v>
      </c>
    </row>
    <row r="109" spans="1:25">
      <c r="A109" s="766" t="s">
        <v>169</v>
      </c>
      <c r="B109" s="836">
        <v>3460</v>
      </c>
      <c r="C109" s="809">
        <v>100</v>
      </c>
      <c r="D109" s="809">
        <v>1946</v>
      </c>
      <c r="E109" s="809">
        <v>56.2</v>
      </c>
      <c r="F109" s="809">
        <v>1514</v>
      </c>
      <c r="G109" s="809">
        <v>43.7</v>
      </c>
      <c r="H109" s="809">
        <v>0</v>
      </c>
      <c r="I109" s="809">
        <v>0</v>
      </c>
      <c r="J109" s="837">
        <v>10.6</v>
      </c>
      <c r="L109" s="766" t="s">
        <v>169</v>
      </c>
      <c r="M109" s="836">
        <v>3460</v>
      </c>
      <c r="N109" s="809">
        <v>0</v>
      </c>
      <c r="O109" s="809">
        <v>1977</v>
      </c>
      <c r="P109" s="809">
        <v>0.3</v>
      </c>
      <c r="Q109" s="809">
        <v>649</v>
      </c>
      <c r="R109" s="809">
        <v>0.7</v>
      </c>
      <c r="S109" s="809">
        <v>772</v>
      </c>
      <c r="T109" s="809">
        <v>1</v>
      </c>
      <c r="U109" s="838">
        <v>30.9</v>
      </c>
      <c r="V109" s="839">
        <v>0.2</v>
      </c>
      <c r="W109" s="836">
        <v>31</v>
      </c>
      <c r="X109" s="840">
        <v>1</v>
      </c>
      <c r="Y109" s="841">
        <v>22.3</v>
      </c>
    </row>
    <row r="110" spans="1:25">
      <c r="A110" s="766" t="s">
        <v>170</v>
      </c>
      <c r="B110" s="836">
        <v>93</v>
      </c>
      <c r="C110" s="809">
        <v>100</v>
      </c>
      <c r="D110" s="809">
        <v>62</v>
      </c>
      <c r="E110" s="809">
        <v>66.7</v>
      </c>
      <c r="F110" s="809">
        <v>0</v>
      </c>
      <c r="G110" s="809">
        <v>0</v>
      </c>
      <c r="H110" s="809">
        <v>31</v>
      </c>
      <c r="I110" s="809">
        <v>33.299999999999997</v>
      </c>
      <c r="J110" s="837">
        <v>13</v>
      </c>
      <c r="L110" s="766" t="s">
        <v>170</v>
      </c>
      <c r="M110" s="836">
        <v>93</v>
      </c>
      <c r="N110" s="809">
        <v>0</v>
      </c>
      <c r="O110" s="809">
        <v>62</v>
      </c>
      <c r="P110" s="809">
        <v>0</v>
      </c>
      <c r="Q110" s="809">
        <v>0</v>
      </c>
      <c r="R110" s="809">
        <v>0</v>
      </c>
      <c r="S110" s="809">
        <v>31</v>
      </c>
      <c r="T110" s="809">
        <v>0</v>
      </c>
      <c r="U110" s="838">
        <v>0</v>
      </c>
      <c r="V110" s="839">
        <v>0</v>
      </c>
      <c r="W110" s="836">
        <v>0</v>
      </c>
      <c r="X110" s="840">
        <v>0</v>
      </c>
      <c r="Y110" s="841">
        <v>0</v>
      </c>
    </row>
    <row r="111" spans="1:25">
      <c r="A111" s="766" t="s">
        <v>171</v>
      </c>
      <c r="B111" s="836">
        <v>93</v>
      </c>
      <c r="C111" s="809">
        <v>100</v>
      </c>
      <c r="D111" s="809">
        <v>93</v>
      </c>
      <c r="E111" s="809">
        <v>100</v>
      </c>
      <c r="F111" s="809">
        <v>0</v>
      </c>
      <c r="G111" s="809">
        <v>0</v>
      </c>
      <c r="H111" s="809">
        <v>0</v>
      </c>
      <c r="I111" s="809">
        <v>0</v>
      </c>
      <c r="J111" s="837">
        <v>8</v>
      </c>
      <c r="L111" s="766" t="s">
        <v>171</v>
      </c>
      <c r="M111" s="836">
        <v>93</v>
      </c>
      <c r="N111" s="809">
        <v>0</v>
      </c>
      <c r="O111" s="809">
        <v>31</v>
      </c>
      <c r="P111" s="809">
        <v>0</v>
      </c>
      <c r="Q111" s="809">
        <v>62</v>
      </c>
      <c r="R111" s="809">
        <v>0.1</v>
      </c>
      <c r="S111" s="809">
        <v>0</v>
      </c>
      <c r="T111" s="809">
        <v>0</v>
      </c>
      <c r="U111" s="838">
        <v>0</v>
      </c>
      <c r="V111" s="839">
        <v>0</v>
      </c>
      <c r="W111" s="836">
        <v>0</v>
      </c>
      <c r="X111" s="840">
        <v>0</v>
      </c>
      <c r="Y111" s="841">
        <v>0</v>
      </c>
    </row>
    <row r="112" spans="1:25">
      <c r="A112" s="766" t="s">
        <v>172</v>
      </c>
      <c r="B112" s="836">
        <v>31</v>
      </c>
      <c r="C112" s="809">
        <v>100</v>
      </c>
      <c r="D112" s="809">
        <v>0</v>
      </c>
      <c r="E112" s="809">
        <v>0</v>
      </c>
      <c r="F112" s="809">
        <v>31</v>
      </c>
      <c r="G112" s="809">
        <v>100</v>
      </c>
      <c r="H112" s="809">
        <v>0</v>
      </c>
      <c r="I112" s="809">
        <v>0</v>
      </c>
      <c r="J112" s="837">
        <v>1</v>
      </c>
      <c r="L112" s="766" t="s">
        <v>172</v>
      </c>
      <c r="M112" s="836">
        <v>31</v>
      </c>
      <c r="N112" s="809">
        <v>0</v>
      </c>
      <c r="O112" s="809">
        <v>31</v>
      </c>
      <c r="P112" s="809">
        <v>0</v>
      </c>
      <c r="Q112" s="809">
        <v>0</v>
      </c>
      <c r="R112" s="809">
        <v>0</v>
      </c>
      <c r="S112" s="809">
        <v>0</v>
      </c>
      <c r="T112" s="809">
        <v>0</v>
      </c>
      <c r="U112" s="838">
        <v>0</v>
      </c>
      <c r="V112" s="839">
        <v>0</v>
      </c>
      <c r="W112" s="836">
        <v>0</v>
      </c>
      <c r="X112" s="840">
        <v>0</v>
      </c>
      <c r="Y112" s="841">
        <v>0</v>
      </c>
    </row>
    <row r="113" spans="1:25">
      <c r="A113" s="766" t="s">
        <v>173</v>
      </c>
      <c r="B113" s="836">
        <v>9207</v>
      </c>
      <c r="C113" s="809">
        <v>100</v>
      </c>
      <c r="D113" s="809">
        <v>5314</v>
      </c>
      <c r="E113" s="809">
        <v>57.7</v>
      </c>
      <c r="F113" s="809">
        <v>3676</v>
      </c>
      <c r="G113" s="809">
        <v>39.9</v>
      </c>
      <c r="H113" s="809">
        <v>216</v>
      </c>
      <c r="I113" s="809">
        <v>2.2999999999999998</v>
      </c>
      <c r="J113" s="837">
        <v>12.1</v>
      </c>
      <c r="L113" s="766" t="s">
        <v>173</v>
      </c>
      <c r="M113" s="836">
        <v>9207</v>
      </c>
      <c r="N113" s="809">
        <v>1</v>
      </c>
      <c r="O113" s="809">
        <v>5036</v>
      </c>
      <c r="P113" s="809">
        <v>0.9</v>
      </c>
      <c r="Q113" s="809">
        <v>2132</v>
      </c>
      <c r="R113" s="809">
        <v>2.2000000000000002</v>
      </c>
      <c r="S113" s="809">
        <v>1545</v>
      </c>
      <c r="T113" s="809">
        <v>2</v>
      </c>
      <c r="U113" s="838">
        <v>432.5</v>
      </c>
      <c r="V113" s="839">
        <v>3.4</v>
      </c>
      <c r="W113" s="836">
        <v>62</v>
      </c>
      <c r="X113" s="840">
        <v>2</v>
      </c>
      <c r="Y113" s="841">
        <v>18.100000000000001</v>
      </c>
    </row>
    <row r="114" spans="1:25">
      <c r="A114" s="766" t="s">
        <v>174</v>
      </c>
      <c r="B114" s="836">
        <v>1236</v>
      </c>
      <c r="C114" s="809">
        <v>100</v>
      </c>
      <c r="D114" s="809">
        <v>494</v>
      </c>
      <c r="E114" s="809">
        <v>40</v>
      </c>
      <c r="F114" s="809">
        <v>618</v>
      </c>
      <c r="G114" s="809">
        <v>50</v>
      </c>
      <c r="H114" s="809">
        <v>124</v>
      </c>
      <c r="I114" s="809">
        <v>10</v>
      </c>
      <c r="J114" s="837">
        <v>15.6</v>
      </c>
      <c r="L114" s="766" t="s">
        <v>174</v>
      </c>
      <c r="M114" s="836">
        <v>1236</v>
      </c>
      <c r="N114" s="809">
        <v>0</v>
      </c>
      <c r="O114" s="809">
        <v>525</v>
      </c>
      <c r="P114" s="809">
        <v>0.1</v>
      </c>
      <c r="Q114" s="809">
        <v>124</v>
      </c>
      <c r="R114" s="809">
        <v>0.1</v>
      </c>
      <c r="S114" s="809">
        <v>525</v>
      </c>
      <c r="T114" s="809">
        <v>0.7</v>
      </c>
      <c r="U114" s="838">
        <v>61.8</v>
      </c>
      <c r="V114" s="839">
        <v>0.5</v>
      </c>
      <c r="W114" s="836">
        <v>0</v>
      </c>
      <c r="X114" s="840">
        <v>0</v>
      </c>
      <c r="Y114" s="841">
        <v>12.5</v>
      </c>
    </row>
    <row r="115" spans="1:25">
      <c r="A115" s="766" t="s">
        <v>175</v>
      </c>
      <c r="B115" s="836">
        <v>618</v>
      </c>
      <c r="C115" s="809">
        <v>100</v>
      </c>
      <c r="D115" s="809">
        <v>402</v>
      </c>
      <c r="E115" s="809">
        <v>65</v>
      </c>
      <c r="F115" s="809">
        <v>216</v>
      </c>
      <c r="G115" s="809">
        <v>35</v>
      </c>
      <c r="H115" s="809">
        <v>0</v>
      </c>
      <c r="I115" s="809">
        <v>0</v>
      </c>
      <c r="J115" s="837">
        <v>31.5</v>
      </c>
      <c r="L115" s="766" t="s">
        <v>175</v>
      </c>
      <c r="M115" s="836">
        <v>618</v>
      </c>
      <c r="N115" s="809">
        <v>0</v>
      </c>
      <c r="O115" s="809">
        <v>62</v>
      </c>
      <c r="P115" s="809">
        <v>0</v>
      </c>
      <c r="Q115" s="809">
        <v>62</v>
      </c>
      <c r="R115" s="809">
        <v>0.1</v>
      </c>
      <c r="S115" s="809">
        <v>371</v>
      </c>
      <c r="T115" s="809">
        <v>0.5</v>
      </c>
      <c r="U115" s="838">
        <v>123.6</v>
      </c>
      <c r="V115" s="839">
        <v>1</v>
      </c>
      <c r="W115" s="836">
        <v>0</v>
      </c>
      <c r="X115" s="840">
        <v>0</v>
      </c>
      <c r="Y115" s="841">
        <v>15</v>
      </c>
    </row>
    <row r="116" spans="1:25" ht="13.5" thickBot="1">
      <c r="A116" s="766" t="s">
        <v>176</v>
      </c>
      <c r="B116" s="836">
        <v>62</v>
      </c>
      <c r="C116" s="809">
        <v>100</v>
      </c>
      <c r="D116" s="809">
        <v>0</v>
      </c>
      <c r="E116" s="809">
        <v>0</v>
      </c>
      <c r="F116" s="809">
        <v>62</v>
      </c>
      <c r="G116" s="809">
        <v>100</v>
      </c>
      <c r="H116" s="809">
        <v>0</v>
      </c>
      <c r="I116" s="809">
        <v>0</v>
      </c>
      <c r="J116" s="837">
        <v>1</v>
      </c>
      <c r="L116" s="762" t="s">
        <v>176</v>
      </c>
      <c r="M116" s="842">
        <v>62</v>
      </c>
      <c r="N116" s="843">
        <v>0</v>
      </c>
      <c r="O116" s="843">
        <v>62</v>
      </c>
      <c r="P116" s="843">
        <v>0</v>
      </c>
      <c r="Q116" s="843">
        <v>0</v>
      </c>
      <c r="R116" s="843">
        <v>0</v>
      </c>
      <c r="S116" s="843">
        <v>0</v>
      </c>
      <c r="T116" s="843">
        <v>0</v>
      </c>
      <c r="U116" s="844">
        <v>0</v>
      </c>
      <c r="V116" s="845">
        <v>0</v>
      </c>
      <c r="W116" s="842">
        <v>0</v>
      </c>
      <c r="X116" s="846">
        <v>0</v>
      </c>
      <c r="Y116" s="847">
        <v>0</v>
      </c>
    </row>
    <row r="117" spans="1:25">
      <c r="A117" s="766" t="s">
        <v>177</v>
      </c>
      <c r="B117" s="836">
        <v>62</v>
      </c>
      <c r="C117" s="809">
        <v>100</v>
      </c>
      <c r="D117" s="809">
        <v>0</v>
      </c>
      <c r="E117" s="809">
        <v>0</v>
      </c>
      <c r="F117" s="809">
        <v>62</v>
      </c>
      <c r="G117" s="809">
        <v>100</v>
      </c>
      <c r="H117" s="809">
        <v>0</v>
      </c>
      <c r="I117" s="809">
        <v>0</v>
      </c>
      <c r="J117" s="837">
        <v>7</v>
      </c>
      <c r="L117" s="766" t="s">
        <v>177</v>
      </c>
      <c r="M117" s="836">
        <v>62</v>
      </c>
      <c r="N117" s="809">
        <v>0</v>
      </c>
      <c r="O117" s="809">
        <v>62</v>
      </c>
      <c r="P117" s="809">
        <v>0</v>
      </c>
      <c r="Q117" s="809">
        <v>0</v>
      </c>
      <c r="R117" s="809">
        <v>0</v>
      </c>
      <c r="S117" s="809">
        <v>0</v>
      </c>
      <c r="T117" s="809">
        <v>0</v>
      </c>
      <c r="U117" s="838">
        <v>0</v>
      </c>
      <c r="V117" s="839">
        <v>0</v>
      </c>
      <c r="W117" s="836">
        <v>0</v>
      </c>
      <c r="X117" s="840">
        <v>0</v>
      </c>
      <c r="Y117" s="841">
        <v>0</v>
      </c>
    </row>
    <row r="118" spans="1:25">
      <c r="A118" s="766" t="s">
        <v>178</v>
      </c>
      <c r="B118" s="836">
        <v>124</v>
      </c>
      <c r="C118" s="809">
        <v>100</v>
      </c>
      <c r="D118" s="809">
        <v>31</v>
      </c>
      <c r="E118" s="809">
        <v>25</v>
      </c>
      <c r="F118" s="809">
        <v>31</v>
      </c>
      <c r="G118" s="809">
        <v>25</v>
      </c>
      <c r="H118" s="809">
        <v>62</v>
      </c>
      <c r="I118" s="809">
        <v>50</v>
      </c>
      <c r="J118" s="837">
        <v>15.3</v>
      </c>
      <c r="L118" s="766" t="s">
        <v>178</v>
      </c>
      <c r="M118" s="836">
        <v>124</v>
      </c>
      <c r="N118" s="809">
        <v>0</v>
      </c>
      <c r="O118" s="809">
        <v>31</v>
      </c>
      <c r="P118" s="809">
        <v>0</v>
      </c>
      <c r="Q118" s="809">
        <v>0</v>
      </c>
      <c r="R118" s="809">
        <v>0</v>
      </c>
      <c r="S118" s="809">
        <v>93</v>
      </c>
      <c r="T118" s="809">
        <v>0.1</v>
      </c>
      <c r="U118" s="838">
        <v>0</v>
      </c>
      <c r="V118" s="839">
        <v>0</v>
      </c>
      <c r="W118" s="836">
        <v>0</v>
      </c>
      <c r="X118" s="840">
        <v>0</v>
      </c>
      <c r="Y118" s="841">
        <v>25</v>
      </c>
    </row>
    <row r="119" spans="1:25">
      <c r="A119" s="766" t="s">
        <v>179</v>
      </c>
      <c r="B119" s="836">
        <v>93</v>
      </c>
      <c r="C119" s="809">
        <v>100</v>
      </c>
      <c r="D119" s="809">
        <v>31</v>
      </c>
      <c r="E119" s="809">
        <v>33.299999999999997</v>
      </c>
      <c r="F119" s="809">
        <v>62</v>
      </c>
      <c r="G119" s="809">
        <v>66.7</v>
      </c>
      <c r="H119" s="809">
        <v>0</v>
      </c>
      <c r="I119" s="809">
        <v>0</v>
      </c>
      <c r="J119" s="837">
        <v>3</v>
      </c>
      <c r="L119" s="766" t="s">
        <v>179</v>
      </c>
      <c r="M119" s="836">
        <v>93</v>
      </c>
      <c r="N119" s="809">
        <v>0</v>
      </c>
      <c r="O119" s="809">
        <v>93</v>
      </c>
      <c r="P119" s="809">
        <v>0</v>
      </c>
      <c r="Q119" s="809">
        <v>0</v>
      </c>
      <c r="R119" s="809">
        <v>0</v>
      </c>
      <c r="S119" s="809">
        <v>0</v>
      </c>
      <c r="T119" s="809">
        <v>0</v>
      </c>
      <c r="U119" s="838">
        <v>0</v>
      </c>
      <c r="V119" s="839">
        <v>0</v>
      </c>
      <c r="W119" s="836">
        <v>0</v>
      </c>
      <c r="X119" s="840">
        <v>0</v>
      </c>
      <c r="Y119" s="841">
        <v>33.299999999999997</v>
      </c>
    </row>
    <row r="120" spans="1:25" ht="13.5" thickBot="1">
      <c r="A120" s="762" t="s">
        <v>180</v>
      </c>
      <c r="B120" s="842">
        <v>618</v>
      </c>
      <c r="C120" s="843">
        <v>100</v>
      </c>
      <c r="D120" s="843">
        <v>247</v>
      </c>
      <c r="E120" s="843">
        <v>40</v>
      </c>
      <c r="F120" s="843">
        <v>340</v>
      </c>
      <c r="G120" s="843">
        <v>55</v>
      </c>
      <c r="H120" s="843">
        <v>31</v>
      </c>
      <c r="I120" s="843">
        <v>5</v>
      </c>
      <c r="J120" s="807">
        <v>14.1</v>
      </c>
      <c r="L120" s="766" t="s">
        <v>180</v>
      </c>
      <c r="M120" s="836">
        <v>618</v>
      </c>
      <c r="N120" s="809">
        <v>0</v>
      </c>
      <c r="O120" s="809">
        <v>124</v>
      </c>
      <c r="P120" s="809">
        <v>0</v>
      </c>
      <c r="Q120" s="809">
        <v>278</v>
      </c>
      <c r="R120" s="809">
        <v>0.3</v>
      </c>
      <c r="S120" s="809">
        <v>216</v>
      </c>
      <c r="T120" s="809">
        <v>0.3</v>
      </c>
      <c r="U120" s="838">
        <v>0</v>
      </c>
      <c r="V120" s="839">
        <v>0</v>
      </c>
      <c r="W120" s="836">
        <v>0</v>
      </c>
      <c r="X120" s="840">
        <v>0</v>
      </c>
      <c r="Y120" s="841">
        <v>40</v>
      </c>
    </row>
    <row r="121" spans="1:25">
      <c r="A121" s="766" t="s">
        <v>181</v>
      </c>
      <c r="B121" s="836">
        <v>5098</v>
      </c>
      <c r="C121" s="809">
        <v>100</v>
      </c>
      <c r="D121" s="809">
        <v>2039</v>
      </c>
      <c r="E121" s="809">
        <v>40</v>
      </c>
      <c r="F121" s="809">
        <v>2842</v>
      </c>
      <c r="G121" s="809">
        <v>55.8</v>
      </c>
      <c r="H121" s="809">
        <v>216</v>
      </c>
      <c r="I121" s="809">
        <v>4.2</v>
      </c>
      <c r="J121" s="837">
        <v>19.3</v>
      </c>
      <c r="L121" s="766" t="s">
        <v>181</v>
      </c>
      <c r="M121" s="836">
        <v>5098</v>
      </c>
      <c r="N121" s="809">
        <v>1</v>
      </c>
      <c r="O121" s="809">
        <v>2533</v>
      </c>
      <c r="P121" s="809">
        <v>0.4</v>
      </c>
      <c r="Q121" s="809">
        <v>1050</v>
      </c>
      <c r="R121" s="809">
        <v>1.1000000000000001</v>
      </c>
      <c r="S121" s="809">
        <v>896</v>
      </c>
      <c r="T121" s="809">
        <v>1.2</v>
      </c>
      <c r="U121" s="838">
        <v>432.5</v>
      </c>
      <c r="V121" s="839">
        <v>3.4</v>
      </c>
      <c r="W121" s="836">
        <v>185</v>
      </c>
      <c r="X121" s="840">
        <v>6</v>
      </c>
      <c r="Y121" s="841">
        <v>13.9</v>
      </c>
    </row>
    <row r="122" spans="1:25" ht="25.5">
      <c r="A122" s="766" t="s">
        <v>182</v>
      </c>
      <c r="B122" s="836">
        <v>31</v>
      </c>
      <c r="C122" s="809">
        <v>100</v>
      </c>
      <c r="D122" s="809">
        <v>0</v>
      </c>
      <c r="E122" s="809">
        <v>0</v>
      </c>
      <c r="F122" s="809">
        <v>31</v>
      </c>
      <c r="G122" s="809">
        <v>100</v>
      </c>
      <c r="H122" s="809">
        <v>0</v>
      </c>
      <c r="I122" s="809">
        <v>0</v>
      </c>
      <c r="J122" s="837">
        <v>4</v>
      </c>
      <c r="L122" s="766" t="s">
        <v>182</v>
      </c>
      <c r="M122" s="836">
        <v>31</v>
      </c>
      <c r="N122" s="809">
        <v>0</v>
      </c>
      <c r="O122" s="809">
        <v>31</v>
      </c>
      <c r="P122" s="809">
        <v>0</v>
      </c>
      <c r="Q122" s="809">
        <v>0</v>
      </c>
      <c r="R122" s="809">
        <v>0</v>
      </c>
      <c r="S122" s="809">
        <v>0</v>
      </c>
      <c r="T122" s="809">
        <v>0</v>
      </c>
      <c r="U122" s="838">
        <v>0</v>
      </c>
      <c r="V122" s="839">
        <v>0</v>
      </c>
      <c r="W122" s="836">
        <v>0</v>
      </c>
      <c r="X122" s="840">
        <v>0</v>
      </c>
      <c r="Y122" s="841">
        <v>0</v>
      </c>
    </row>
    <row r="123" spans="1:25">
      <c r="A123" s="766" t="s">
        <v>183</v>
      </c>
      <c r="B123" s="836">
        <v>3089</v>
      </c>
      <c r="C123" s="809">
        <v>100</v>
      </c>
      <c r="D123" s="809">
        <v>2286</v>
      </c>
      <c r="E123" s="809">
        <v>74</v>
      </c>
      <c r="F123" s="809">
        <v>741</v>
      </c>
      <c r="G123" s="809">
        <v>24</v>
      </c>
      <c r="H123" s="809">
        <v>62</v>
      </c>
      <c r="I123" s="809">
        <v>2</v>
      </c>
      <c r="J123" s="837">
        <v>14.1</v>
      </c>
      <c r="L123" s="766" t="s">
        <v>183</v>
      </c>
      <c r="M123" s="836">
        <v>3089</v>
      </c>
      <c r="N123" s="809">
        <v>0</v>
      </c>
      <c r="O123" s="809">
        <v>1545</v>
      </c>
      <c r="P123" s="809">
        <v>0.3</v>
      </c>
      <c r="Q123" s="809">
        <v>958</v>
      </c>
      <c r="R123" s="809">
        <v>1</v>
      </c>
      <c r="S123" s="809">
        <v>494</v>
      </c>
      <c r="T123" s="809">
        <v>0.7</v>
      </c>
      <c r="U123" s="838">
        <v>30.9</v>
      </c>
      <c r="V123" s="839">
        <v>0.2</v>
      </c>
      <c r="W123" s="836">
        <v>62</v>
      </c>
      <c r="X123" s="840">
        <v>2</v>
      </c>
      <c r="Y123" s="841">
        <v>28</v>
      </c>
    </row>
    <row r="124" spans="1:25">
      <c r="A124" s="766" t="s">
        <v>184</v>
      </c>
      <c r="B124" s="836">
        <v>618</v>
      </c>
      <c r="C124" s="809">
        <v>100</v>
      </c>
      <c r="D124" s="809">
        <v>402</v>
      </c>
      <c r="E124" s="809">
        <v>65</v>
      </c>
      <c r="F124" s="809">
        <v>216</v>
      </c>
      <c r="G124" s="809">
        <v>35</v>
      </c>
      <c r="H124" s="809">
        <v>0</v>
      </c>
      <c r="I124" s="809">
        <v>0</v>
      </c>
      <c r="J124" s="837">
        <v>9</v>
      </c>
      <c r="L124" s="766" t="s">
        <v>184</v>
      </c>
      <c r="M124" s="836">
        <v>618</v>
      </c>
      <c r="N124" s="809">
        <v>0</v>
      </c>
      <c r="O124" s="809">
        <v>247</v>
      </c>
      <c r="P124" s="809">
        <v>0</v>
      </c>
      <c r="Q124" s="809">
        <v>309</v>
      </c>
      <c r="R124" s="809">
        <v>0.3</v>
      </c>
      <c r="S124" s="809">
        <v>62</v>
      </c>
      <c r="T124" s="809">
        <v>0.1</v>
      </c>
      <c r="U124" s="838">
        <v>0</v>
      </c>
      <c r="V124" s="839">
        <v>0</v>
      </c>
      <c r="W124" s="836">
        <v>0</v>
      </c>
      <c r="X124" s="840">
        <v>0</v>
      </c>
      <c r="Y124" s="841">
        <v>20</v>
      </c>
    </row>
    <row r="125" spans="1:25">
      <c r="A125" s="766" t="s">
        <v>185</v>
      </c>
      <c r="B125" s="836">
        <v>5098</v>
      </c>
      <c r="C125" s="809">
        <v>100</v>
      </c>
      <c r="D125" s="809">
        <v>2626</v>
      </c>
      <c r="E125" s="809">
        <v>51.5</v>
      </c>
      <c r="F125" s="809">
        <v>2255</v>
      </c>
      <c r="G125" s="809">
        <v>44.2</v>
      </c>
      <c r="H125" s="809">
        <v>216</v>
      </c>
      <c r="I125" s="809">
        <v>4.2</v>
      </c>
      <c r="J125" s="837">
        <v>10.199999999999999</v>
      </c>
      <c r="L125" s="766" t="s">
        <v>185</v>
      </c>
      <c r="M125" s="836">
        <v>5098</v>
      </c>
      <c r="N125" s="809">
        <v>1</v>
      </c>
      <c r="O125" s="809">
        <v>3059</v>
      </c>
      <c r="P125" s="809">
        <v>0.5</v>
      </c>
      <c r="Q125" s="809">
        <v>680</v>
      </c>
      <c r="R125" s="809">
        <v>0.7</v>
      </c>
      <c r="S125" s="809">
        <v>1236</v>
      </c>
      <c r="T125" s="809">
        <v>1.6</v>
      </c>
      <c r="U125" s="838">
        <v>123.6</v>
      </c>
      <c r="V125" s="839">
        <v>1</v>
      </c>
      <c r="W125" s="836">
        <v>0</v>
      </c>
      <c r="X125" s="840">
        <v>0</v>
      </c>
      <c r="Y125" s="841">
        <v>11.5</v>
      </c>
    </row>
    <row r="126" spans="1:25">
      <c r="A126" s="766" t="s">
        <v>186</v>
      </c>
      <c r="B126" s="836">
        <v>62</v>
      </c>
      <c r="C126" s="809">
        <v>100</v>
      </c>
      <c r="D126" s="809">
        <v>31</v>
      </c>
      <c r="E126" s="809">
        <v>50</v>
      </c>
      <c r="F126" s="809">
        <v>31</v>
      </c>
      <c r="G126" s="809">
        <v>50</v>
      </c>
      <c r="H126" s="809">
        <v>0</v>
      </c>
      <c r="I126" s="809">
        <v>0</v>
      </c>
      <c r="J126" s="837">
        <v>4</v>
      </c>
      <c r="L126" s="766" t="s">
        <v>186</v>
      </c>
      <c r="M126" s="836">
        <v>62</v>
      </c>
      <c r="N126" s="809">
        <v>0</v>
      </c>
      <c r="O126" s="809">
        <v>62</v>
      </c>
      <c r="P126" s="809">
        <v>0</v>
      </c>
      <c r="Q126" s="809">
        <v>0</v>
      </c>
      <c r="R126" s="809">
        <v>0</v>
      </c>
      <c r="S126" s="809">
        <v>0</v>
      </c>
      <c r="T126" s="809">
        <v>0</v>
      </c>
      <c r="U126" s="838">
        <v>0</v>
      </c>
      <c r="V126" s="839">
        <v>0</v>
      </c>
      <c r="W126" s="836">
        <v>0</v>
      </c>
      <c r="X126" s="840">
        <v>0</v>
      </c>
      <c r="Y126" s="841">
        <v>0</v>
      </c>
    </row>
    <row r="127" spans="1:25">
      <c r="A127" s="766" t="s">
        <v>187</v>
      </c>
      <c r="B127" s="836">
        <v>31</v>
      </c>
      <c r="C127" s="809">
        <v>100</v>
      </c>
      <c r="D127" s="809">
        <v>31</v>
      </c>
      <c r="E127" s="809">
        <v>100</v>
      </c>
      <c r="F127" s="809">
        <v>0</v>
      </c>
      <c r="G127" s="809">
        <v>0</v>
      </c>
      <c r="H127" s="809">
        <v>0</v>
      </c>
      <c r="I127" s="809">
        <v>0</v>
      </c>
      <c r="J127" s="837">
        <v>5</v>
      </c>
      <c r="L127" s="766" t="s">
        <v>187</v>
      </c>
      <c r="M127" s="836">
        <v>31</v>
      </c>
      <c r="N127" s="809">
        <v>0</v>
      </c>
      <c r="O127" s="809">
        <v>31</v>
      </c>
      <c r="P127" s="809">
        <v>0</v>
      </c>
      <c r="Q127" s="809">
        <v>0</v>
      </c>
      <c r="R127" s="809">
        <v>0</v>
      </c>
      <c r="S127" s="809">
        <v>0</v>
      </c>
      <c r="T127" s="809">
        <v>0</v>
      </c>
      <c r="U127" s="838">
        <v>0</v>
      </c>
      <c r="V127" s="839">
        <v>0</v>
      </c>
      <c r="W127" s="836">
        <v>0</v>
      </c>
      <c r="X127" s="840">
        <v>0</v>
      </c>
      <c r="Y127" s="841">
        <v>0</v>
      </c>
    </row>
    <row r="128" spans="1:25">
      <c r="A128" s="766" t="s">
        <v>188</v>
      </c>
      <c r="B128" s="836">
        <v>2904</v>
      </c>
      <c r="C128" s="809">
        <v>100</v>
      </c>
      <c r="D128" s="809">
        <v>2039</v>
      </c>
      <c r="E128" s="809">
        <v>70.2</v>
      </c>
      <c r="F128" s="809">
        <v>711</v>
      </c>
      <c r="G128" s="809">
        <v>24.5</v>
      </c>
      <c r="H128" s="809">
        <v>154</v>
      </c>
      <c r="I128" s="809">
        <v>5.3</v>
      </c>
      <c r="J128" s="837">
        <v>7</v>
      </c>
      <c r="L128" s="766" t="s">
        <v>188</v>
      </c>
      <c r="M128" s="836">
        <v>2904</v>
      </c>
      <c r="N128" s="809">
        <v>0</v>
      </c>
      <c r="O128" s="809">
        <v>2039</v>
      </c>
      <c r="P128" s="809">
        <v>0.4</v>
      </c>
      <c r="Q128" s="809">
        <v>711</v>
      </c>
      <c r="R128" s="809">
        <v>0.7</v>
      </c>
      <c r="S128" s="809">
        <v>124</v>
      </c>
      <c r="T128" s="809">
        <v>0.2</v>
      </c>
      <c r="U128" s="838">
        <v>0</v>
      </c>
      <c r="V128" s="839">
        <v>0</v>
      </c>
      <c r="W128" s="836">
        <v>31</v>
      </c>
      <c r="X128" s="840">
        <v>1</v>
      </c>
      <c r="Y128" s="841">
        <v>14.9</v>
      </c>
    </row>
    <row r="129" spans="1:25">
      <c r="A129" s="766" t="s">
        <v>189</v>
      </c>
      <c r="B129" s="836">
        <v>31</v>
      </c>
      <c r="C129" s="809">
        <v>100</v>
      </c>
      <c r="D129" s="809">
        <v>0</v>
      </c>
      <c r="E129" s="809">
        <v>0</v>
      </c>
      <c r="F129" s="809">
        <v>31</v>
      </c>
      <c r="G129" s="809">
        <v>100</v>
      </c>
      <c r="H129" s="809">
        <v>0</v>
      </c>
      <c r="I129" s="809">
        <v>0</v>
      </c>
      <c r="J129" s="837">
        <v>13</v>
      </c>
      <c r="L129" s="766" t="s">
        <v>189</v>
      </c>
      <c r="M129" s="836">
        <v>31</v>
      </c>
      <c r="N129" s="809">
        <v>0</v>
      </c>
      <c r="O129" s="809">
        <v>0</v>
      </c>
      <c r="P129" s="809">
        <v>0</v>
      </c>
      <c r="Q129" s="809">
        <v>31</v>
      </c>
      <c r="R129" s="809">
        <v>0</v>
      </c>
      <c r="S129" s="809">
        <v>0</v>
      </c>
      <c r="T129" s="809">
        <v>0</v>
      </c>
      <c r="U129" s="838">
        <v>0</v>
      </c>
      <c r="V129" s="839">
        <v>0</v>
      </c>
      <c r="W129" s="836">
        <v>0</v>
      </c>
      <c r="X129" s="840">
        <v>0</v>
      </c>
      <c r="Y129" s="841">
        <v>0</v>
      </c>
    </row>
    <row r="130" spans="1:25">
      <c r="A130" s="766" t="s">
        <v>190</v>
      </c>
      <c r="B130" s="836">
        <v>12172</v>
      </c>
      <c r="C130" s="809">
        <v>100</v>
      </c>
      <c r="D130" s="809">
        <v>5932</v>
      </c>
      <c r="E130" s="809">
        <v>48.7</v>
      </c>
      <c r="F130" s="809">
        <v>5994</v>
      </c>
      <c r="G130" s="809">
        <v>49.2</v>
      </c>
      <c r="H130" s="809">
        <v>247</v>
      </c>
      <c r="I130" s="809">
        <v>2</v>
      </c>
      <c r="J130" s="837">
        <v>7.4</v>
      </c>
      <c r="L130" s="766" t="s">
        <v>190</v>
      </c>
      <c r="M130" s="836">
        <v>12172</v>
      </c>
      <c r="N130" s="809">
        <v>2</v>
      </c>
      <c r="O130" s="809">
        <v>9701</v>
      </c>
      <c r="P130" s="809">
        <v>1.7</v>
      </c>
      <c r="Q130" s="809">
        <v>1205</v>
      </c>
      <c r="R130" s="809">
        <v>1.3</v>
      </c>
      <c r="S130" s="809">
        <v>1081</v>
      </c>
      <c r="T130" s="809">
        <v>1.4</v>
      </c>
      <c r="U130" s="838">
        <v>61.8</v>
      </c>
      <c r="V130" s="839">
        <v>0.5</v>
      </c>
      <c r="W130" s="836">
        <v>124</v>
      </c>
      <c r="X130" s="840">
        <v>4</v>
      </c>
      <c r="Y130" s="841">
        <v>14.7</v>
      </c>
    </row>
    <row r="131" spans="1:25" ht="51">
      <c r="A131" s="766" t="s">
        <v>191</v>
      </c>
      <c r="B131" s="836">
        <v>371</v>
      </c>
      <c r="C131" s="809">
        <v>100</v>
      </c>
      <c r="D131" s="809">
        <v>124</v>
      </c>
      <c r="E131" s="809">
        <v>33.299999999999997</v>
      </c>
      <c r="F131" s="809">
        <v>247</v>
      </c>
      <c r="G131" s="809">
        <v>66.7</v>
      </c>
      <c r="H131" s="809">
        <v>0</v>
      </c>
      <c r="I131" s="809">
        <v>0</v>
      </c>
      <c r="J131" s="837">
        <v>8.4</v>
      </c>
      <c r="L131" s="766" t="s">
        <v>191</v>
      </c>
      <c r="M131" s="836">
        <v>371</v>
      </c>
      <c r="N131" s="809">
        <v>0</v>
      </c>
      <c r="O131" s="809">
        <v>340</v>
      </c>
      <c r="P131" s="809">
        <v>0.1</v>
      </c>
      <c r="Q131" s="809">
        <v>0</v>
      </c>
      <c r="R131" s="809">
        <v>0</v>
      </c>
      <c r="S131" s="809">
        <v>0</v>
      </c>
      <c r="T131" s="809">
        <v>0</v>
      </c>
      <c r="U131" s="838">
        <v>30.9</v>
      </c>
      <c r="V131" s="839">
        <v>0.2</v>
      </c>
      <c r="W131" s="836">
        <v>0</v>
      </c>
      <c r="X131" s="840">
        <v>0</v>
      </c>
      <c r="Y131" s="841">
        <v>25</v>
      </c>
    </row>
    <row r="132" spans="1:25" ht="25.5">
      <c r="A132" s="766" t="s">
        <v>192</v>
      </c>
      <c r="B132" s="836">
        <v>278</v>
      </c>
      <c r="C132" s="809">
        <v>100</v>
      </c>
      <c r="D132" s="809">
        <v>124</v>
      </c>
      <c r="E132" s="809">
        <v>44.4</v>
      </c>
      <c r="F132" s="809">
        <v>154</v>
      </c>
      <c r="G132" s="809">
        <v>55.6</v>
      </c>
      <c r="H132" s="809">
        <v>0</v>
      </c>
      <c r="I132" s="809">
        <v>0</v>
      </c>
      <c r="J132" s="837">
        <v>8.6999999999999993</v>
      </c>
      <c r="L132" s="766" t="s">
        <v>192</v>
      </c>
      <c r="M132" s="836">
        <v>278</v>
      </c>
      <c r="N132" s="809">
        <v>0</v>
      </c>
      <c r="O132" s="809">
        <v>216</v>
      </c>
      <c r="P132" s="809">
        <v>0</v>
      </c>
      <c r="Q132" s="809">
        <v>31</v>
      </c>
      <c r="R132" s="809">
        <v>0</v>
      </c>
      <c r="S132" s="809">
        <v>31</v>
      </c>
      <c r="T132" s="809">
        <v>0</v>
      </c>
      <c r="U132" s="838">
        <v>0</v>
      </c>
      <c r="V132" s="839">
        <v>0</v>
      </c>
      <c r="W132" s="836">
        <v>0</v>
      </c>
      <c r="X132" s="840">
        <v>0</v>
      </c>
      <c r="Y132" s="841">
        <v>44.4</v>
      </c>
    </row>
    <row r="133" spans="1:25">
      <c r="A133" s="766" t="s">
        <v>193</v>
      </c>
      <c r="B133" s="836">
        <v>93</v>
      </c>
      <c r="C133" s="809">
        <v>100</v>
      </c>
      <c r="D133" s="809">
        <v>62</v>
      </c>
      <c r="E133" s="809">
        <v>66.7</v>
      </c>
      <c r="F133" s="809">
        <v>31</v>
      </c>
      <c r="G133" s="809">
        <v>33.299999999999997</v>
      </c>
      <c r="H133" s="809">
        <v>0</v>
      </c>
      <c r="I133" s="809">
        <v>0</v>
      </c>
      <c r="J133" s="837">
        <v>11.7</v>
      </c>
      <c r="L133" s="766" t="s">
        <v>193</v>
      </c>
      <c r="M133" s="836">
        <v>93</v>
      </c>
      <c r="N133" s="809">
        <v>0</v>
      </c>
      <c r="O133" s="809">
        <v>62</v>
      </c>
      <c r="P133" s="809">
        <v>0</v>
      </c>
      <c r="Q133" s="809">
        <v>0</v>
      </c>
      <c r="R133" s="809">
        <v>0</v>
      </c>
      <c r="S133" s="809">
        <v>31</v>
      </c>
      <c r="T133" s="809">
        <v>0</v>
      </c>
      <c r="U133" s="838">
        <v>0</v>
      </c>
      <c r="V133" s="839">
        <v>0</v>
      </c>
      <c r="W133" s="836">
        <v>0</v>
      </c>
      <c r="X133" s="840">
        <v>0</v>
      </c>
      <c r="Y133" s="841">
        <v>0</v>
      </c>
    </row>
    <row r="134" spans="1:25">
      <c r="A134" s="766" t="s">
        <v>194</v>
      </c>
      <c r="B134" s="836">
        <v>402</v>
      </c>
      <c r="C134" s="809">
        <v>100</v>
      </c>
      <c r="D134" s="809">
        <v>154</v>
      </c>
      <c r="E134" s="809">
        <v>38.5</v>
      </c>
      <c r="F134" s="809">
        <v>247</v>
      </c>
      <c r="G134" s="809">
        <v>61.5</v>
      </c>
      <c r="H134" s="809">
        <v>0</v>
      </c>
      <c r="I134" s="809">
        <v>0</v>
      </c>
      <c r="J134" s="837">
        <v>30.5</v>
      </c>
      <c r="L134" s="766" t="s">
        <v>194</v>
      </c>
      <c r="M134" s="836">
        <v>402</v>
      </c>
      <c r="N134" s="809">
        <v>0</v>
      </c>
      <c r="O134" s="809">
        <v>93</v>
      </c>
      <c r="P134" s="809">
        <v>0</v>
      </c>
      <c r="Q134" s="809">
        <v>93</v>
      </c>
      <c r="R134" s="809">
        <v>0.1</v>
      </c>
      <c r="S134" s="809">
        <v>124</v>
      </c>
      <c r="T134" s="809">
        <v>0.2</v>
      </c>
      <c r="U134" s="838">
        <v>61.8</v>
      </c>
      <c r="V134" s="839">
        <v>0.5</v>
      </c>
      <c r="W134" s="836">
        <v>31</v>
      </c>
      <c r="X134" s="840">
        <v>1</v>
      </c>
      <c r="Y134" s="841">
        <v>15.4</v>
      </c>
    </row>
    <row r="135" spans="1:25">
      <c r="A135" s="766" t="s">
        <v>195</v>
      </c>
      <c r="B135" s="836">
        <v>556</v>
      </c>
      <c r="C135" s="809">
        <v>100</v>
      </c>
      <c r="D135" s="809">
        <v>402</v>
      </c>
      <c r="E135" s="809">
        <v>72.2</v>
      </c>
      <c r="F135" s="809">
        <v>154</v>
      </c>
      <c r="G135" s="809">
        <v>27.8</v>
      </c>
      <c r="H135" s="809">
        <v>0</v>
      </c>
      <c r="I135" s="809">
        <v>0</v>
      </c>
      <c r="J135" s="837">
        <v>8.5</v>
      </c>
      <c r="L135" s="766" t="s">
        <v>195</v>
      </c>
      <c r="M135" s="836">
        <v>556</v>
      </c>
      <c r="N135" s="809">
        <v>0</v>
      </c>
      <c r="O135" s="809">
        <v>402</v>
      </c>
      <c r="P135" s="809">
        <v>0.1</v>
      </c>
      <c r="Q135" s="809">
        <v>62</v>
      </c>
      <c r="R135" s="809">
        <v>0.1</v>
      </c>
      <c r="S135" s="809">
        <v>93</v>
      </c>
      <c r="T135" s="809">
        <v>0.1</v>
      </c>
      <c r="U135" s="838">
        <v>0</v>
      </c>
      <c r="V135" s="839">
        <v>0</v>
      </c>
      <c r="W135" s="836">
        <v>0</v>
      </c>
      <c r="X135" s="840">
        <v>0</v>
      </c>
      <c r="Y135" s="841">
        <v>11.1</v>
      </c>
    </row>
    <row r="136" spans="1:25" ht="38.25">
      <c r="A136" s="766" t="s">
        <v>196</v>
      </c>
      <c r="B136" s="836">
        <v>93</v>
      </c>
      <c r="C136" s="809">
        <v>100</v>
      </c>
      <c r="D136" s="809">
        <v>62</v>
      </c>
      <c r="E136" s="809">
        <v>66.7</v>
      </c>
      <c r="F136" s="809">
        <v>31</v>
      </c>
      <c r="G136" s="809">
        <v>33.299999999999997</v>
      </c>
      <c r="H136" s="809">
        <v>0</v>
      </c>
      <c r="I136" s="809">
        <v>0</v>
      </c>
      <c r="J136" s="837">
        <v>4</v>
      </c>
      <c r="L136" s="766" t="s">
        <v>196</v>
      </c>
      <c r="M136" s="836">
        <v>93</v>
      </c>
      <c r="N136" s="809">
        <v>0</v>
      </c>
      <c r="O136" s="809">
        <v>93</v>
      </c>
      <c r="P136" s="809">
        <v>0</v>
      </c>
      <c r="Q136" s="809">
        <v>0</v>
      </c>
      <c r="R136" s="809">
        <v>0</v>
      </c>
      <c r="S136" s="809">
        <v>0</v>
      </c>
      <c r="T136" s="809">
        <v>0</v>
      </c>
      <c r="U136" s="838">
        <v>0</v>
      </c>
      <c r="V136" s="839">
        <v>0</v>
      </c>
      <c r="W136" s="836">
        <v>0</v>
      </c>
      <c r="X136" s="840">
        <v>0</v>
      </c>
      <c r="Y136" s="841">
        <v>0</v>
      </c>
    </row>
    <row r="137" spans="1:25">
      <c r="A137" s="766" t="s">
        <v>197</v>
      </c>
      <c r="B137" s="836">
        <v>62</v>
      </c>
      <c r="C137" s="809">
        <v>100</v>
      </c>
      <c r="D137" s="809">
        <v>62</v>
      </c>
      <c r="E137" s="809">
        <v>100</v>
      </c>
      <c r="F137" s="809">
        <v>0</v>
      </c>
      <c r="G137" s="809">
        <v>0</v>
      </c>
      <c r="H137" s="809">
        <v>0</v>
      </c>
      <c r="I137" s="809">
        <v>0</v>
      </c>
      <c r="J137" s="837">
        <v>5</v>
      </c>
      <c r="L137" s="766" t="s">
        <v>197</v>
      </c>
      <c r="M137" s="836">
        <v>62</v>
      </c>
      <c r="N137" s="809">
        <v>0</v>
      </c>
      <c r="O137" s="809">
        <v>62</v>
      </c>
      <c r="P137" s="809">
        <v>0</v>
      </c>
      <c r="Q137" s="809">
        <v>0</v>
      </c>
      <c r="R137" s="809">
        <v>0</v>
      </c>
      <c r="S137" s="809">
        <v>0</v>
      </c>
      <c r="T137" s="809">
        <v>0</v>
      </c>
      <c r="U137" s="838">
        <v>0</v>
      </c>
      <c r="V137" s="839">
        <v>0</v>
      </c>
      <c r="W137" s="836">
        <v>0</v>
      </c>
      <c r="X137" s="840">
        <v>0</v>
      </c>
      <c r="Y137" s="841">
        <v>100</v>
      </c>
    </row>
    <row r="138" spans="1:25">
      <c r="A138" s="766" t="s">
        <v>198</v>
      </c>
      <c r="B138" s="836">
        <v>185</v>
      </c>
      <c r="C138" s="809">
        <v>100</v>
      </c>
      <c r="D138" s="809">
        <v>154</v>
      </c>
      <c r="E138" s="809">
        <v>83.3</v>
      </c>
      <c r="F138" s="809">
        <v>31</v>
      </c>
      <c r="G138" s="809">
        <v>16.7</v>
      </c>
      <c r="H138" s="809">
        <v>0</v>
      </c>
      <c r="I138" s="809">
        <v>0</v>
      </c>
      <c r="J138" s="837">
        <v>42.3</v>
      </c>
      <c r="L138" s="766" t="s">
        <v>198</v>
      </c>
      <c r="M138" s="836">
        <v>185</v>
      </c>
      <c r="N138" s="809">
        <v>0</v>
      </c>
      <c r="O138" s="809">
        <v>124</v>
      </c>
      <c r="P138" s="809">
        <v>0</v>
      </c>
      <c r="Q138" s="809">
        <v>0</v>
      </c>
      <c r="R138" s="809">
        <v>0</v>
      </c>
      <c r="S138" s="809">
        <v>0</v>
      </c>
      <c r="T138" s="809">
        <v>0</v>
      </c>
      <c r="U138" s="838">
        <v>0</v>
      </c>
      <c r="V138" s="839">
        <v>0</v>
      </c>
      <c r="W138" s="836">
        <v>62</v>
      </c>
      <c r="X138" s="840">
        <v>2</v>
      </c>
      <c r="Y138" s="841">
        <v>33.299999999999997</v>
      </c>
    </row>
    <row r="139" spans="1:25">
      <c r="A139" s="766" t="s">
        <v>199</v>
      </c>
      <c r="B139" s="836">
        <v>247</v>
      </c>
      <c r="C139" s="809">
        <v>100</v>
      </c>
      <c r="D139" s="809">
        <v>154</v>
      </c>
      <c r="E139" s="809">
        <v>62.5</v>
      </c>
      <c r="F139" s="809">
        <v>93</v>
      </c>
      <c r="G139" s="809">
        <v>37.5</v>
      </c>
      <c r="H139" s="809">
        <v>0</v>
      </c>
      <c r="I139" s="809">
        <v>0</v>
      </c>
      <c r="J139" s="837">
        <v>6.1</v>
      </c>
      <c r="L139" s="766" t="s">
        <v>199</v>
      </c>
      <c r="M139" s="836">
        <v>247</v>
      </c>
      <c r="N139" s="809">
        <v>0</v>
      </c>
      <c r="O139" s="809">
        <v>185</v>
      </c>
      <c r="P139" s="809">
        <v>0</v>
      </c>
      <c r="Q139" s="809">
        <v>62</v>
      </c>
      <c r="R139" s="809">
        <v>0.1</v>
      </c>
      <c r="S139" s="809">
        <v>0</v>
      </c>
      <c r="T139" s="809">
        <v>0</v>
      </c>
      <c r="U139" s="838">
        <v>0</v>
      </c>
      <c r="V139" s="839">
        <v>0</v>
      </c>
      <c r="W139" s="836">
        <v>0</v>
      </c>
      <c r="X139" s="840">
        <v>0</v>
      </c>
      <c r="Y139" s="841">
        <v>37.5</v>
      </c>
    </row>
    <row r="140" spans="1:25">
      <c r="A140" s="766" t="s">
        <v>200</v>
      </c>
      <c r="B140" s="836">
        <v>525</v>
      </c>
      <c r="C140" s="809">
        <v>100</v>
      </c>
      <c r="D140" s="809">
        <v>62</v>
      </c>
      <c r="E140" s="809">
        <v>11.8</v>
      </c>
      <c r="F140" s="809">
        <v>433</v>
      </c>
      <c r="G140" s="809">
        <v>82.4</v>
      </c>
      <c r="H140" s="809">
        <v>31</v>
      </c>
      <c r="I140" s="809">
        <v>5.9</v>
      </c>
      <c r="J140" s="837">
        <v>5.6</v>
      </c>
      <c r="L140" s="766" t="s">
        <v>200</v>
      </c>
      <c r="M140" s="836">
        <v>525</v>
      </c>
      <c r="N140" s="809">
        <v>0</v>
      </c>
      <c r="O140" s="809">
        <v>494</v>
      </c>
      <c r="P140" s="809">
        <v>0.1</v>
      </c>
      <c r="Q140" s="809">
        <v>31</v>
      </c>
      <c r="R140" s="809">
        <v>0</v>
      </c>
      <c r="S140" s="809">
        <v>0</v>
      </c>
      <c r="T140" s="809">
        <v>0</v>
      </c>
      <c r="U140" s="838">
        <v>0</v>
      </c>
      <c r="V140" s="839">
        <v>0</v>
      </c>
      <c r="W140" s="836">
        <v>0</v>
      </c>
      <c r="X140" s="840">
        <v>0</v>
      </c>
      <c r="Y140" s="841">
        <v>35.299999999999997</v>
      </c>
    </row>
    <row r="141" spans="1:25">
      <c r="A141" s="766" t="s">
        <v>201</v>
      </c>
      <c r="B141" s="836">
        <v>31</v>
      </c>
      <c r="C141" s="809">
        <v>100</v>
      </c>
      <c r="D141" s="809">
        <v>0</v>
      </c>
      <c r="E141" s="809">
        <v>0</v>
      </c>
      <c r="F141" s="809">
        <v>31</v>
      </c>
      <c r="G141" s="809">
        <v>100</v>
      </c>
      <c r="H141" s="809">
        <v>0</v>
      </c>
      <c r="I141" s="809">
        <v>0</v>
      </c>
      <c r="J141" s="837">
        <v>2</v>
      </c>
      <c r="L141" s="766" t="s">
        <v>201</v>
      </c>
      <c r="M141" s="836">
        <v>31</v>
      </c>
      <c r="N141" s="809">
        <v>0</v>
      </c>
      <c r="O141" s="809">
        <v>31</v>
      </c>
      <c r="P141" s="809">
        <v>0</v>
      </c>
      <c r="Q141" s="809">
        <v>0</v>
      </c>
      <c r="R141" s="809">
        <v>0</v>
      </c>
      <c r="S141" s="809">
        <v>0</v>
      </c>
      <c r="T141" s="809">
        <v>0</v>
      </c>
      <c r="U141" s="838">
        <v>0</v>
      </c>
      <c r="V141" s="839">
        <v>0</v>
      </c>
      <c r="W141" s="836">
        <v>0</v>
      </c>
      <c r="X141" s="840">
        <v>0</v>
      </c>
      <c r="Y141" s="841">
        <v>0</v>
      </c>
    </row>
    <row r="142" spans="1:25">
      <c r="A142" s="766" t="s">
        <v>202</v>
      </c>
      <c r="B142" s="836">
        <v>31</v>
      </c>
      <c r="C142" s="809">
        <v>100</v>
      </c>
      <c r="D142" s="809">
        <v>0</v>
      </c>
      <c r="E142" s="809">
        <v>0</v>
      </c>
      <c r="F142" s="809">
        <v>31</v>
      </c>
      <c r="G142" s="809">
        <v>100</v>
      </c>
      <c r="H142" s="809">
        <v>0</v>
      </c>
      <c r="I142" s="809">
        <v>0</v>
      </c>
      <c r="J142" s="837">
        <v>1</v>
      </c>
      <c r="L142" s="766" t="s">
        <v>202</v>
      </c>
      <c r="M142" s="836">
        <v>31</v>
      </c>
      <c r="N142" s="809">
        <v>0</v>
      </c>
      <c r="O142" s="809">
        <v>31</v>
      </c>
      <c r="P142" s="809">
        <v>0</v>
      </c>
      <c r="Q142" s="809">
        <v>0</v>
      </c>
      <c r="R142" s="809">
        <v>0</v>
      </c>
      <c r="S142" s="809">
        <v>0</v>
      </c>
      <c r="T142" s="809">
        <v>0</v>
      </c>
      <c r="U142" s="838">
        <v>0</v>
      </c>
      <c r="V142" s="839">
        <v>0</v>
      </c>
      <c r="W142" s="836">
        <v>0</v>
      </c>
      <c r="X142" s="840">
        <v>0</v>
      </c>
      <c r="Y142" s="841">
        <v>0</v>
      </c>
    </row>
    <row r="143" spans="1:25">
      <c r="A143" s="766" t="s">
        <v>203</v>
      </c>
      <c r="B143" s="836">
        <v>494</v>
      </c>
      <c r="C143" s="809">
        <v>100</v>
      </c>
      <c r="D143" s="809">
        <v>278</v>
      </c>
      <c r="E143" s="809">
        <v>56.3</v>
      </c>
      <c r="F143" s="809">
        <v>216</v>
      </c>
      <c r="G143" s="809">
        <v>43.8</v>
      </c>
      <c r="H143" s="809">
        <v>0</v>
      </c>
      <c r="I143" s="809">
        <v>0</v>
      </c>
      <c r="J143" s="837">
        <v>7.2</v>
      </c>
      <c r="L143" s="766" t="s">
        <v>203</v>
      </c>
      <c r="M143" s="836">
        <v>494</v>
      </c>
      <c r="N143" s="809">
        <v>0</v>
      </c>
      <c r="O143" s="809">
        <v>340</v>
      </c>
      <c r="P143" s="809">
        <v>0.1</v>
      </c>
      <c r="Q143" s="809">
        <v>31</v>
      </c>
      <c r="R143" s="809">
        <v>0</v>
      </c>
      <c r="S143" s="809">
        <v>124</v>
      </c>
      <c r="T143" s="809">
        <v>0.2</v>
      </c>
      <c r="U143" s="838">
        <v>0</v>
      </c>
      <c r="V143" s="839">
        <v>0</v>
      </c>
      <c r="W143" s="836">
        <v>0</v>
      </c>
      <c r="X143" s="840">
        <v>0</v>
      </c>
      <c r="Y143" s="841">
        <v>25</v>
      </c>
    </row>
    <row r="144" spans="1:25">
      <c r="A144" s="766" t="s">
        <v>204</v>
      </c>
      <c r="B144" s="836">
        <v>216</v>
      </c>
      <c r="C144" s="809">
        <v>100</v>
      </c>
      <c r="D144" s="809">
        <v>124</v>
      </c>
      <c r="E144" s="809">
        <v>57.1</v>
      </c>
      <c r="F144" s="809">
        <v>93</v>
      </c>
      <c r="G144" s="809">
        <v>42.9</v>
      </c>
      <c r="H144" s="809">
        <v>0</v>
      </c>
      <c r="I144" s="809">
        <v>0</v>
      </c>
      <c r="J144" s="837">
        <v>2.4</v>
      </c>
      <c r="L144" s="766" t="s">
        <v>204</v>
      </c>
      <c r="M144" s="836">
        <v>216</v>
      </c>
      <c r="N144" s="809">
        <v>0</v>
      </c>
      <c r="O144" s="809">
        <v>216</v>
      </c>
      <c r="P144" s="809">
        <v>0</v>
      </c>
      <c r="Q144" s="809">
        <v>0</v>
      </c>
      <c r="R144" s="809">
        <v>0</v>
      </c>
      <c r="S144" s="809">
        <v>0</v>
      </c>
      <c r="T144" s="809">
        <v>0</v>
      </c>
      <c r="U144" s="838">
        <v>0</v>
      </c>
      <c r="V144" s="839">
        <v>0</v>
      </c>
      <c r="W144" s="836">
        <v>0</v>
      </c>
      <c r="X144" s="840">
        <v>0</v>
      </c>
      <c r="Y144" s="841">
        <v>57.1</v>
      </c>
    </row>
    <row r="145" spans="1:25">
      <c r="A145" s="766" t="s">
        <v>205</v>
      </c>
      <c r="B145" s="836">
        <v>62</v>
      </c>
      <c r="C145" s="809">
        <v>100</v>
      </c>
      <c r="D145" s="809">
        <v>31</v>
      </c>
      <c r="E145" s="809">
        <v>50</v>
      </c>
      <c r="F145" s="809">
        <v>31</v>
      </c>
      <c r="G145" s="809">
        <v>50</v>
      </c>
      <c r="H145" s="809">
        <v>0</v>
      </c>
      <c r="I145" s="809">
        <v>0</v>
      </c>
      <c r="J145" s="837">
        <v>70</v>
      </c>
      <c r="L145" s="766" t="s">
        <v>205</v>
      </c>
      <c r="M145" s="836">
        <v>62</v>
      </c>
      <c r="N145" s="809">
        <v>0</v>
      </c>
      <c r="O145" s="809">
        <v>0</v>
      </c>
      <c r="P145" s="809">
        <v>0</v>
      </c>
      <c r="Q145" s="809">
        <v>0</v>
      </c>
      <c r="R145" s="809">
        <v>0</v>
      </c>
      <c r="S145" s="809">
        <v>0</v>
      </c>
      <c r="T145" s="809">
        <v>0</v>
      </c>
      <c r="U145" s="838">
        <v>61.8</v>
      </c>
      <c r="V145" s="839">
        <v>0.5</v>
      </c>
      <c r="W145" s="836">
        <v>0</v>
      </c>
      <c r="X145" s="840">
        <v>0</v>
      </c>
      <c r="Y145" s="841">
        <v>100</v>
      </c>
    </row>
    <row r="146" spans="1:25">
      <c r="A146" s="766" t="s">
        <v>206</v>
      </c>
      <c r="B146" s="836">
        <v>278</v>
      </c>
      <c r="C146" s="809">
        <v>100</v>
      </c>
      <c r="D146" s="809">
        <v>278</v>
      </c>
      <c r="E146" s="809">
        <v>100</v>
      </c>
      <c r="F146" s="809">
        <v>0</v>
      </c>
      <c r="G146" s="809">
        <v>0</v>
      </c>
      <c r="H146" s="809">
        <v>0</v>
      </c>
      <c r="I146" s="809">
        <v>0</v>
      </c>
      <c r="J146" s="837">
        <v>1.1000000000000001</v>
      </c>
      <c r="L146" s="766" t="s">
        <v>206</v>
      </c>
      <c r="M146" s="836">
        <v>278</v>
      </c>
      <c r="N146" s="809">
        <v>0</v>
      </c>
      <c r="O146" s="809">
        <v>278</v>
      </c>
      <c r="P146" s="809">
        <v>0</v>
      </c>
      <c r="Q146" s="809">
        <v>0</v>
      </c>
      <c r="R146" s="809">
        <v>0</v>
      </c>
      <c r="S146" s="809">
        <v>0</v>
      </c>
      <c r="T146" s="809">
        <v>0</v>
      </c>
      <c r="U146" s="838">
        <v>0</v>
      </c>
      <c r="V146" s="839">
        <v>0</v>
      </c>
      <c r="W146" s="836">
        <v>0</v>
      </c>
      <c r="X146" s="840">
        <v>0</v>
      </c>
      <c r="Y146" s="841">
        <v>0</v>
      </c>
    </row>
    <row r="147" spans="1:25" ht="25.5">
      <c r="A147" s="766" t="s">
        <v>207</v>
      </c>
      <c r="B147" s="836">
        <v>242923</v>
      </c>
      <c r="C147" s="809">
        <v>100</v>
      </c>
      <c r="D147" s="809">
        <v>12234</v>
      </c>
      <c r="E147" s="809">
        <v>5</v>
      </c>
      <c r="F147" s="809">
        <v>177179</v>
      </c>
      <c r="G147" s="809">
        <v>72.900000000000006</v>
      </c>
      <c r="H147" s="809">
        <v>53509</v>
      </c>
      <c r="I147" s="809">
        <v>22</v>
      </c>
      <c r="J147" s="837">
        <v>3.4</v>
      </c>
      <c r="L147" s="766" t="s">
        <v>207</v>
      </c>
      <c r="M147" s="836">
        <v>242923</v>
      </c>
      <c r="N147" s="809">
        <v>32</v>
      </c>
      <c r="O147" s="809">
        <v>228341</v>
      </c>
      <c r="P147" s="809">
        <v>39.4</v>
      </c>
      <c r="Q147" s="809">
        <v>8774</v>
      </c>
      <c r="R147" s="809">
        <v>9.1</v>
      </c>
      <c r="S147" s="809">
        <v>5314</v>
      </c>
      <c r="T147" s="809">
        <v>7</v>
      </c>
      <c r="U147" s="838">
        <v>370.7</v>
      </c>
      <c r="V147" s="839">
        <v>2.9</v>
      </c>
      <c r="W147" s="836">
        <v>124</v>
      </c>
      <c r="X147" s="840">
        <v>4</v>
      </c>
      <c r="Y147" s="841">
        <v>2.9</v>
      </c>
    </row>
    <row r="148" spans="1:25">
      <c r="A148" s="766" t="s">
        <v>208</v>
      </c>
      <c r="B148" s="836">
        <v>31</v>
      </c>
      <c r="C148" s="809">
        <v>100</v>
      </c>
      <c r="D148" s="809">
        <v>31</v>
      </c>
      <c r="E148" s="809">
        <v>100</v>
      </c>
      <c r="F148" s="809">
        <v>0</v>
      </c>
      <c r="G148" s="809">
        <v>0</v>
      </c>
      <c r="H148" s="809">
        <v>0</v>
      </c>
      <c r="I148" s="809">
        <v>0</v>
      </c>
      <c r="J148" s="837">
        <v>1</v>
      </c>
      <c r="L148" s="766" t="s">
        <v>208</v>
      </c>
      <c r="M148" s="836">
        <v>31</v>
      </c>
      <c r="N148" s="809">
        <v>0</v>
      </c>
      <c r="O148" s="809">
        <v>31</v>
      </c>
      <c r="P148" s="809">
        <v>0</v>
      </c>
      <c r="Q148" s="809">
        <v>0</v>
      </c>
      <c r="R148" s="809">
        <v>0</v>
      </c>
      <c r="S148" s="809">
        <v>0</v>
      </c>
      <c r="T148" s="809">
        <v>0</v>
      </c>
      <c r="U148" s="838">
        <v>0</v>
      </c>
      <c r="V148" s="839">
        <v>0</v>
      </c>
      <c r="W148" s="836">
        <v>0</v>
      </c>
      <c r="X148" s="840">
        <v>0</v>
      </c>
      <c r="Y148" s="841">
        <v>0</v>
      </c>
    </row>
    <row r="149" spans="1:25">
      <c r="A149" s="766" t="s">
        <v>209</v>
      </c>
      <c r="B149" s="836">
        <v>1267</v>
      </c>
      <c r="C149" s="809">
        <v>100</v>
      </c>
      <c r="D149" s="809">
        <v>958</v>
      </c>
      <c r="E149" s="809">
        <v>75.599999999999994</v>
      </c>
      <c r="F149" s="809">
        <v>247</v>
      </c>
      <c r="G149" s="809">
        <v>19.5</v>
      </c>
      <c r="H149" s="809">
        <v>62</v>
      </c>
      <c r="I149" s="809">
        <v>4.9000000000000004</v>
      </c>
      <c r="J149" s="837">
        <v>6.4</v>
      </c>
      <c r="L149" s="766" t="s">
        <v>209</v>
      </c>
      <c r="M149" s="836">
        <v>1267</v>
      </c>
      <c r="N149" s="809">
        <v>0</v>
      </c>
      <c r="O149" s="809">
        <v>1050</v>
      </c>
      <c r="P149" s="809">
        <v>0.2</v>
      </c>
      <c r="Q149" s="809">
        <v>124</v>
      </c>
      <c r="R149" s="809">
        <v>0.1</v>
      </c>
      <c r="S149" s="809">
        <v>93</v>
      </c>
      <c r="T149" s="809">
        <v>0.1</v>
      </c>
      <c r="U149" s="838">
        <v>0</v>
      </c>
      <c r="V149" s="839">
        <v>0</v>
      </c>
      <c r="W149" s="836">
        <v>0</v>
      </c>
      <c r="X149" s="840">
        <v>0</v>
      </c>
      <c r="Y149" s="841">
        <v>14.6</v>
      </c>
    </row>
    <row r="150" spans="1:25">
      <c r="A150" s="766" t="s">
        <v>210</v>
      </c>
      <c r="B150" s="836">
        <v>62</v>
      </c>
      <c r="C150" s="809">
        <v>100</v>
      </c>
      <c r="D150" s="809">
        <v>62</v>
      </c>
      <c r="E150" s="809">
        <v>100</v>
      </c>
      <c r="F150" s="809">
        <v>0</v>
      </c>
      <c r="G150" s="809">
        <v>0</v>
      </c>
      <c r="H150" s="809">
        <v>0</v>
      </c>
      <c r="I150" s="809">
        <v>0</v>
      </c>
      <c r="J150" s="837">
        <v>20.5</v>
      </c>
      <c r="L150" s="766" t="s">
        <v>210</v>
      </c>
      <c r="M150" s="836">
        <v>62</v>
      </c>
      <c r="N150" s="809">
        <v>0</v>
      </c>
      <c r="O150" s="809">
        <v>0</v>
      </c>
      <c r="P150" s="809">
        <v>0</v>
      </c>
      <c r="Q150" s="809">
        <v>0</v>
      </c>
      <c r="R150" s="809">
        <v>0</v>
      </c>
      <c r="S150" s="809">
        <v>62</v>
      </c>
      <c r="T150" s="809">
        <v>0.1</v>
      </c>
      <c r="U150" s="838">
        <v>0</v>
      </c>
      <c r="V150" s="839">
        <v>0</v>
      </c>
      <c r="W150" s="836">
        <v>0</v>
      </c>
      <c r="X150" s="840">
        <v>0</v>
      </c>
      <c r="Y150" s="841">
        <v>0</v>
      </c>
    </row>
    <row r="151" spans="1:25" ht="25.5">
      <c r="A151" s="766" t="s">
        <v>211</v>
      </c>
      <c r="B151" s="836">
        <v>11246</v>
      </c>
      <c r="C151" s="809">
        <v>100</v>
      </c>
      <c r="D151" s="809">
        <v>6951</v>
      </c>
      <c r="E151" s="809">
        <v>61.8</v>
      </c>
      <c r="F151" s="809">
        <v>3615</v>
      </c>
      <c r="G151" s="809">
        <v>32.1</v>
      </c>
      <c r="H151" s="809">
        <v>680</v>
      </c>
      <c r="I151" s="809">
        <v>6</v>
      </c>
      <c r="J151" s="837">
        <v>14.3</v>
      </c>
      <c r="L151" s="766" t="s">
        <v>211</v>
      </c>
      <c r="M151" s="836">
        <v>11246</v>
      </c>
      <c r="N151" s="809">
        <v>1</v>
      </c>
      <c r="O151" s="809">
        <v>5530</v>
      </c>
      <c r="P151" s="809">
        <v>1</v>
      </c>
      <c r="Q151" s="809">
        <v>2873</v>
      </c>
      <c r="R151" s="809">
        <v>3</v>
      </c>
      <c r="S151" s="809">
        <v>2224</v>
      </c>
      <c r="T151" s="809">
        <v>2.9</v>
      </c>
      <c r="U151" s="838">
        <v>556.1</v>
      </c>
      <c r="V151" s="839">
        <v>4.4000000000000004</v>
      </c>
      <c r="W151" s="836">
        <v>62</v>
      </c>
      <c r="X151" s="840">
        <v>2</v>
      </c>
      <c r="Y151" s="841">
        <v>23.1</v>
      </c>
    </row>
    <row r="152" spans="1:25" ht="25.5">
      <c r="A152" s="766" t="s">
        <v>212</v>
      </c>
      <c r="B152" s="836">
        <v>1421</v>
      </c>
      <c r="C152" s="809">
        <v>100</v>
      </c>
      <c r="D152" s="809">
        <v>402</v>
      </c>
      <c r="E152" s="809">
        <v>28.3</v>
      </c>
      <c r="F152" s="809">
        <v>865</v>
      </c>
      <c r="G152" s="809">
        <v>60.9</v>
      </c>
      <c r="H152" s="809">
        <v>154</v>
      </c>
      <c r="I152" s="809">
        <v>10.9</v>
      </c>
      <c r="J152" s="837">
        <v>5.5</v>
      </c>
      <c r="L152" s="766" t="s">
        <v>212</v>
      </c>
      <c r="M152" s="836">
        <v>1421</v>
      </c>
      <c r="N152" s="809">
        <v>0</v>
      </c>
      <c r="O152" s="809">
        <v>1236</v>
      </c>
      <c r="P152" s="809">
        <v>0.2</v>
      </c>
      <c r="Q152" s="809">
        <v>124</v>
      </c>
      <c r="R152" s="809">
        <v>0.1</v>
      </c>
      <c r="S152" s="809">
        <v>62</v>
      </c>
      <c r="T152" s="809">
        <v>0.1</v>
      </c>
      <c r="U152" s="838">
        <v>0</v>
      </c>
      <c r="V152" s="839">
        <v>0</v>
      </c>
      <c r="W152" s="836">
        <v>0</v>
      </c>
      <c r="X152" s="840">
        <v>0</v>
      </c>
      <c r="Y152" s="841">
        <v>30.4</v>
      </c>
    </row>
    <row r="153" spans="1:25">
      <c r="A153" s="766" t="s">
        <v>213</v>
      </c>
      <c r="B153" s="836">
        <v>1236</v>
      </c>
      <c r="C153" s="809">
        <v>100</v>
      </c>
      <c r="D153" s="809">
        <v>587</v>
      </c>
      <c r="E153" s="809">
        <v>47.5</v>
      </c>
      <c r="F153" s="809">
        <v>587</v>
      </c>
      <c r="G153" s="809">
        <v>47.5</v>
      </c>
      <c r="H153" s="809">
        <v>62</v>
      </c>
      <c r="I153" s="809">
        <v>5</v>
      </c>
      <c r="J153" s="837">
        <v>12.1</v>
      </c>
      <c r="L153" s="766" t="s">
        <v>213</v>
      </c>
      <c r="M153" s="836">
        <v>1236</v>
      </c>
      <c r="N153" s="809">
        <v>0</v>
      </c>
      <c r="O153" s="809">
        <v>711</v>
      </c>
      <c r="P153" s="809">
        <v>0.1</v>
      </c>
      <c r="Q153" s="809">
        <v>185</v>
      </c>
      <c r="R153" s="809">
        <v>0.2</v>
      </c>
      <c r="S153" s="809">
        <v>309</v>
      </c>
      <c r="T153" s="809">
        <v>0.4</v>
      </c>
      <c r="U153" s="838">
        <v>30.9</v>
      </c>
      <c r="V153" s="839">
        <v>0.2</v>
      </c>
      <c r="W153" s="836">
        <v>0</v>
      </c>
      <c r="X153" s="840">
        <v>0</v>
      </c>
      <c r="Y153" s="841">
        <v>20</v>
      </c>
    </row>
    <row r="154" spans="1:25">
      <c r="A154" s="766" t="s">
        <v>214</v>
      </c>
      <c r="B154" s="836">
        <v>3429</v>
      </c>
      <c r="C154" s="809">
        <v>100</v>
      </c>
      <c r="D154" s="809">
        <v>2194</v>
      </c>
      <c r="E154" s="809">
        <v>64</v>
      </c>
      <c r="F154" s="809">
        <v>1112</v>
      </c>
      <c r="G154" s="809">
        <v>32.4</v>
      </c>
      <c r="H154" s="809">
        <v>124</v>
      </c>
      <c r="I154" s="809">
        <v>3.6</v>
      </c>
      <c r="J154" s="837">
        <v>14.5</v>
      </c>
      <c r="L154" s="766" t="s">
        <v>214</v>
      </c>
      <c r="M154" s="836">
        <v>3429</v>
      </c>
      <c r="N154" s="809">
        <v>0</v>
      </c>
      <c r="O154" s="809">
        <v>1915</v>
      </c>
      <c r="P154" s="809">
        <v>0.3</v>
      </c>
      <c r="Q154" s="809">
        <v>587</v>
      </c>
      <c r="R154" s="809">
        <v>0.6</v>
      </c>
      <c r="S154" s="809">
        <v>618</v>
      </c>
      <c r="T154" s="809">
        <v>0.8</v>
      </c>
      <c r="U154" s="838">
        <v>308.89999999999998</v>
      </c>
      <c r="V154" s="839">
        <v>2.4</v>
      </c>
      <c r="W154" s="836">
        <v>0</v>
      </c>
      <c r="X154" s="840">
        <v>0</v>
      </c>
      <c r="Y154" s="841">
        <v>14.4</v>
      </c>
    </row>
    <row r="155" spans="1:25" ht="25.5">
      <c r="A155" s="766" t="s">
        <v>215</v>
      </c>
      <c r="B155" s="836">
        <v>62</v>
      </c>
      <c r="C155" s="809">
        <v>100</v>
      </c>
      <c r="D155" s="809">
        <v>0</v>
      </c>
      <c r="E155" s="809">
        <v>0</v>
      </c>
      <c r="F155" s="809">
        <v>31</v>
      </c>
      <c r="G155" s="809">
        <v>50</v>
      </c>
      <c r="H155" s="809">
        <v>31</v>
      </c>
      <c r="I155" s="809">
        <v>50</v>
      </c>
      <c r="J155" s="837">
        <v>1</v>
      </c>
      <c r="L155" s="766" t="s">
        <v>215</v>
      </c>
      <c r="M155" s="836">
        <v>62</v>
      </c>
      <c r="N155" s="809">
        <v>0</v>
      </c>
      <c r="O155" s="809">
        <v>62</v>
      </c>
      <c r="P155" s="809">
        <v>0</v>
      </c>
      <c r="Q155" s="809">
        <v>0</v>
      </c>
      <c r="R155" s="809">
        <v>0</v>
      </c>
      <c r="S155" s="809">
        <v>0</v>
      </c>
      <c r="T155" s="809">
        <v>0</v>
      </c>
      <c r="U155" s="838">
        <v>0</v>
      </c>
      <c r="V155" s="839">
        <v>0</v>
      </c>
      <c r="W155" s="836">
        <v>0</v>
      </c>
      <c r="X155" s="840">
        <v>0</v>
      </c>
      <c r="Y155" s="841">
        <v>0</v>
      </c>
    </row>
    <row r="156" spans="1:25">
      <c r="A156" s="766" t="s">
        <v>216</v>
      </c>
      <c r="B156" s="836">
        <v>1452</v>
      </c>
      <c r="C156" s="809">
        <v>100</v>
      </c>
      <c r="D156" s="809">
        <v>185</v>
      </c>
      <c r="E156" s="809">
        <v>12.8</v>
      </c>
      <c r="F156" s="809">
        <v>989</v>
      </c>
      <c r="G156" s="809">
        <v>68.099999999999994</v>
      </c>
      <c r="H156" s="809">
        <v>278</v>
      </c>
      <c r="I156" s="809">
        <v>19.100000000000001</v>
      </c>
      <c r="J156" s="837">
        <v>27.2</v>
      </c>
      <c r="L156" s="766" t="s">
        <v>216</v>
      </c>
      <c r="M156" s="836">
        <v>1452</v>
      </c>
      <c r="N156" s="809">
        <v>0</v>
      </c>
      <c r="O156" s="809">
        <v>525</v>
      </c>
      <c r="P156" s="809">
        <v>0.1</v>
      </c>
      <c r="Q156" s="809">
        <v>124</v>
      </c>
      <c r="R156" s="809">
        <v>0.1</v>
      </c>
      <c r="S156" s="809">
        <v>494</v>
      </c>
      <c r="T156" s="809">
        <v>0.7</v>
      </c>
      <c r="U156" s="838">
        <v>247.2</v>
      </c>
      <c r="V156" s="839">
        <v>1.9</v>
      </c>
      <c r="W156" s="836">
        <v>62</v>
      </c>
      <c r="X156" s="840">
        <v>2</v>
      </c>
      <c r="Y156" s="841">
        <v>17</v>
      </c>
    </row>
    <row r="157" spans="1:25">
      <c r="A157" s="766" t="s">
        <v>217</v>
      </c>
      <c r="B157" s="836">
        <v>93</v>
      </c>
      <c r="C157" s="809">
        <v>100</v>
      </c>
      <c r="D157" s="809">
        <v>93</v>
      </c>
      <c r="E157" s="809">
        <v>100</v>
      </c>
      <c r="F157" s="809">
        <v>0</v>
      </c>
      <c r="G157" s="809">
        <v>0</v>
      </c>
      <c r="H157" s="809">
        <v>0</v>
      </c>
      <c r="I157" s="809">
        <v>0</v>
      </c>
      <c r="J157" s="837">
        <v>1</v>
      </c>
      <c r="L157" s="766" t="s">
        <v>217</v>
      </c>
      <c r="M157" s="836">
        <v>93</v>
      </c>
      <c r="N157" s="809">
        <v>0</v>
      </c>
      <c r="O157" s="809">
        <v>93</v>
      </c>
      <c r="P157" s="809">
        <v>0</v>
      </c>
      <c r="Q157" s="809">
        <v>0</v>
      </c>
      <c r="R157" s="809">
        <v>0</v>
      </c>
      <c r="S157" s="809">
        <v>0</v>
      </c>
      <c r="T157" s="809">
        <v>0</v>
      </c>
      <c r="U157" s="838">
        <v>0</v>
      </c>
      <c r="V157" s="839">
        <v>0</v>
      </c>
      <c r="W157" s="836">
        <v>0</v>
      </c>
      <c r="X157" s="840">
        <v>0</v>
      </c>
      <c r="Y157" s="841">
        <v>0</v>
      </c>
    </row>
    <row r="158" spans="1:25" ht="13.5" thickBot="1">
      <c r="A158" s="766" t="s">
        <v>218</v>
      </c>
      <c r="B158" s="836">
        <v>216</v>
      </c>
      <c r="C158" s="809">
        <v>100</v>
      </c>
      <c r="D158" s="809">
        <v>124</v>
      </c>
      <c r="E158" s="809">
        <v>57.1</v>
      </c>
      <c r="F158" s="809">
        <v>93</v>
      </c>
      <c r="G158" s="809">
        <v>42.9</v>
      </c>
      <c r="H158" s="809">
        <v>0</v>
      </c>
      <c r="I158" s="809">
        <v>0</v>
      </c>
      <c r="J158" s="837">
        <v>8.4</v>
      </c>
      <c r="L158" s="762" t="s">
        <v>218</v>
      </c>
      <c r="M158" s="842">
        <v>216</v>
      </c>
      <c r="N158" s="843">
        <v>0</v>
      </c>
      <c r="O158" s="843">
        <v>124</v>
      </c>
      <c r="P158" s="843">
        <v>0</v>
      </c>
      <c r="Q158" s="843">
        <v>0</v>
      </c>
      <c r="R158" s="843">
        <v>0</v>
      </c>
      <c r="S158" s="843">
        <v>93</v>
      </c>
      <c r="T158" s="843">
        <v>0.1</v>
      </c>
      <c r="U158" s="844">
        <v>0</v>
      </c>
      <c r="V158" s="845">
        <v>0</v>
      </c>
      <c r="W158" s="842">
        <v>0</v>
      </c>
      <c r="X158" s="846">
        <v>0</v>
      </c>
      <c r="Y158" s="847">
        <v>0</v>
      </c>
    </row>
    <row r="159" spans="1:25">
      <c r="A159" s="766" t="s">
        <v>219</v>
      </c>
      <c r="B159" s="836">
        <v>62</v>
      </c>
      <c r="C159" s="809">
        <v>100</v>
      </c>
      <c r="D159" s="809">
        <v>62</v>
      </c>
      <c r="E159" s="809">
        <v>100</v>
      </c>
      <c r="F159" s="809">
        <v>0</v>
      </c>
      <c r="G159" s="809">
        <v>0</v>
      </c>
      <c r="H159" s="809">
        <v>0</v>
      </c>
      <c r="I159" s="809">
        <v>0</v>
      </c>
      <c r="J159" s="837">
        <v>13</v>
      </c>
      <c r="L159" s="766" t="s">
        <v>219</v>
      </c>
      <c r="M159" s="836">
        <v>62</v>
      </c>
      <c r="N159" s="809">
        <v>0</v>
      </c>
      <c r="O159" s="809">
        <v>31</v>
      </c>
      <c r="P159" s="809">
        <v>0</v>
      </c>
      <c r="Q159" s="809">
        <v>0</v>
      </c>
      <c r="R159" s="809">
        <v>0</v>
      </c>
      <c r="S159" s="809">
        <v>31</v>
      </c>
      <c r="T159" s="809">
        <v>0</v>
      </c>
      <c r="U159" s="838">
        <v>0</v>
      </c>
      <c r="V159" s="839">
        <v>0</v>
      </c>
      <c r="W159" s="836">
        <v>0</v>
      </c>
      <c r="X159" s="840">
        <v>0</v>
      </c>
      <c r="Y159" s="841">
        <v>50</v>
      </c>
    </row>
    <row r="160" spans="1:25">
      <c r="A160" s="766" t="s">
        <v>220</v>
      </c>
      <c r="B160" s="836">
        <v>124</v>
      </c>
      <c r="C160" s="809">
        <v>100</v>
      </c>
      <c r="D160" s="809">
        <v>93</v>
      </c>
      <c r="E160" s="809">
        <v>75</v>
      </c>
      <c r="F160" s="809">
        <v>0</v>
      </c>
      <c r="G160" s="809">
        <v>0</v>
      </c>
      <c r="H160" s="809">
        <v>31</v>
      </c>
      <c r="I160" s="809">
        <v>25</v>
      </c>
      <c r="J160" s="837">
        <v>5.5</v>
      </c>
      <c r="L160" s="766" t="s">
        <v>220</v>
      </c>
      <c r="M160" s="836">
        <v>124</v>
      </c>
      <c r="N160" s="809">
        <v>0</v>
      </c>
      <c r="O160" s="809">
        <v>124</v>
      </c>
      <c r="P160" s="809">
        <v>0</v>
      </c>
      <c r="Q160" s="809">
        <v>0</v>
      </c>
      <c r="R160" s="809">
        <v>0</v>
      </c>
      <c r="S160" s="809">
        <v>0</v>
      </c>
      <c r="T160" s="809">
        <v>0</v>
      </c>
      <c r="U160" s="838">
        <v>0</v>
      </c>
      <c r="V160" s="839">
        <v>0</v>
      </c>
      <c r="W160" s="836">
        <v>0</v>
      </c>
      <c r="X160" s="840">
        <v>0</v>
      </c>
      <c r="Y160" s="841">
        <v>25</v>
      </c>
    </row>
    <row r="161" spans="1:25">
      <c r="A161" s="766" t="s">
        <v>221</v>
      </c>
      <c r="B161" s="836">
        <v>1236</v>
      </c>
      <c r="C161" s="809">
        <v>100</v>
      </c>
      <c r="D161" s="809">
        <v>402</v>
      </c>
      <c r="E161" s="809">
        <v>32.5</v>
      </c>
      <c r="F161" s="809">
        <v>618</v>
      </c>
      <c r="G161" s="809">
        <v>50</v>
      </c>
      <c r="H161" s="809">
        <v>216</v>
      </c>
      <c r="I161" s="809">
        <v>17.5</v>
      </c>
      <c r="J161" s="837">
        <v>8.6999999999999993</v>
      </c>
      <c r="L161" s="766" t="s">
        <v>221</v>
      </c>
      <c r="M161" s="836">
        <v>1236</v>
      </c>
      <c r="N161" s="809">
        <v>0</v>
      </c>
      <c r="O161" s="809">
        <v>989</v>
      </c>
      <c r="P161" s="809">
        <v>0.2</v>
      </c>
      <c r="Q161" s="809">
        <v>31</v>
      </c>
      <c r="R161" s="809">
        <v>0</v>
      </c>
      <c r="S161" s="809">
        <v>185</v>
      </c>
      <c r="T161" s="809">
        <v>0.2</v>
      </c>
      <c r="U161" s="838">
        <v>0</v>
      </c>
      <c r="V161" s="839">
        <v>0</v>
      </c>
      <c r="W161" s="836">
        <v>31</v>
      </c>
      <c r="X161" s="840">
        <v>1</v>
      </c>
      <c r="Y161" s="841">
        <v>10</v>
      </c>
    </row>
    <row r="162" spans="1:25">
      <c r="A162" s="766" t="s">
        <v>222</v>
      </c>
      <c r="B162" s="836">
        <v>185</v>
      </c>
      <c r="C162" s="809">
        <v>100</v>
      </c>
      <c r="D162" s="809">
        <v>93</v>
      </c>
      <c r="E162" s="809">
        <v>50</v>
      </c>
      <c r="F162" s="809">
        <v>62</v>
      </c>
      <c r="G162" s="809">
        <v>33.299999999999997</v>
      </c>
      <c r="H162" s="809">
        <v>31</v>
      </c>
      <c r="I162" s="809">
        <v>16.7</v>
      </c>
      <c r="J162" s="837">
        <v>7.5</v>
      </c>
      <c r="L162" s="766" t="s">
        <v>222</v>
      </c>
      <c r="M162" s="836">
        <v>185</v>
      </c>
      <c r="N162" s="809">
        <v>0</v>
      </c>
      <c r="O162" s="809">
        <v>124</v>
      </c>
      <c r="P162" s="809">
        <v>0</v>
      </c>
      <c r="Q162" s="809">
        <v>31</v>
      </c>
      <c r="R162" s="809">
        <v>0</v>
      </c>
      <c r="S162" s="809">
        <v>31</v>
      </c>
      <c r="T162" s="809">
        <v>0</v>
      </c>
      <c r="U162" s="838">
        <v>0</v>
      </c>
      <c r="V162" s="839">
        <v>0</v>
      </c>
      <c r="W162" s="836">
        <v>0</v>
      </c>
      <c r="X162" s="840">
        <v>0</v>
      </c>
      <c r="Y162" s="841">
        <v>33.299999999999997</v>
      </c>
    </row>
    <row r="163" spans="1:25" ht="25.5">
      <c r="A163" s="766" t="s">
        <v>223</v>
      </c>
      <c r="B163" s="836">
        <v>185</v>
      </c>
      <c r="C163" s="809">
        <v>100</v>
      </c>
      <c r="D163" s="809">
        <v>31</v>
      </c>
      <c r="E163" s="809">
        <v>16.7</v>
      </c>
      <c r="F163" s="809">
        <v>154</v>
      </c>
      <c r="G163" s="809">
        <v>83.3</v>
      </c>
      <c r="H163" s="809">
        <v>0</v>
      </c>
      <c r="I163" s="809">
        <v>0</v>
      </c>
      <c r="J163" s="837">
        <v>2.8</v>
      </c>
      <c r="L163" s="766" t="s">
        <v>223</v>
      </c>
      <c r="M163" s="836">
        <v>185</v>
      </c>
      <c r="N163" s="809">
        <v>0</v>
      </c>
      <c r="O163" s="809">
        <v>185</v>
      </c>
      <c r="P163" s="809">
        <v>0</v>
      </c>
      <c r="Q163" s="809">
        <v>0</v>
      </c>
      <c r="R163" s="809">
        <v>0</v>
      </c>
      <c r="S163" s="809">
        <v>0</v>
      </c>
      <c r="T163" s="809">
        <v>0</v>
      </c>
      <c r="U163" s="838">
        <v>0</v>
      </c>
      <c r="V163" s="839">
        <v>0</v>
      </c>
      <c r="W163" s="836">
        <v>0</v>
      </c>
      <c r="X163" s="840">
        <v>0</v>
      </c>
      <c r="Y163" s="841">
        <v>0</v>
      </c>
    </row>
    <row r="164" spans="1:25">
      <c r="A164" s="766" t="s">
        <v>224</v>
      </c>
      <c r="B164" s="836">
        <v>927</v>
      </c>
      <c r="C164" s="809">
        <v>100</v>
      </c>
      <c r="D164" s="809">
        <v>494</v>
      </c>
      <c r="E164" s="809">
        <v>53.3</v>
      </c>
      <c r="F164" s="809">
        <v>340</v>
      </c>
      <c r="G164" s="809">
        <v>36.700000000000003</v>
      </c>
      <c r="H164" s="809">
        <v>93</v>
      </c>
      <c r="I164" s="809">
        <v>10</v>
      </c>
      <c r="J164" s="837">
        <v>13.6</v>
      </c>
      <c r="L164" s="766" t="s">
        <v>224</v>
      </c>
      <c r="M164" s="836">
        <v>927</v>
      </c>
      <c r="N164" s="809">
        <v>0</v>
      </c>
      <c r="O164" s="809">
        <v>741</v>
      </c>
      <c r="P164" s="809">
        <v>0.1</v>
      </c>
      <c r="Q164" s="809">
        <v>124</v>
      </c>
      <c r="R164" s="809">
        <v>0.1</v>
      </c>
      <c r="S164" s="809">
        <v>0</v>
      </c>
      <c r="T164" s="809">
        <v>0</v>
      </c>
      <c r="U164" s="838">
        <v>0</v>
      </c>
      <c r="V164" s="839">
        <v>0</v>
      </c>
      <c r="W164" s="836">
        <v>62</v>
      </c>
      <c r="X164" s="840">
        <v>2</v>
      </c>
      <c r="Y164" s="841">
        <v>20</v>
      </c>
    </row>
    <row r="165" spans="1:25" ht="26.25" thickBot="1">
      <c r="A165" s="762" t="s">
        <v>225</v>
      </c>
      <c r="B165" s="842">
        <v>31</v>
      </c>
      <c r="C165" s="843">
        <v>100</v>
      </c>
      <c r="D165" s="843">
        <v>0</v>
      </c>
      <c r="E165" s="843">
        <v>0</v>
      </c>
      <c r="F165" s="843">
        <v>31</v>
      </c>
      <c r="G165" s="843">
        <v>100</v>
      </c>
      <c r="H165" s="843">
        <v>0</v>
      </c>
      <c r="I165" s="843">
        <v>0</v>
      </c>
      <c r="J165" s="807">
        <v>30</v>
      </c>
      <c r="L165" s="766" t="s">
        <v>225</v>
      </c>
      <c r="M165" s="836">
        <v>31</v>
      </c>
      <c r="N165" s="809">
        <v>0</v>
      </c>
      <c r="O165" s="809">
        <v>0</v>
      </c>
      <c r="P165" s="809">
        <v>0</v>
      </c>
      <c r="Q165" s="809">
        <v>0</v>
      </c>
      <c r="R165" s="809">
        <v>0</v>
      </c>
      <c r="S165" s="809">
        <v>31</v>
      </c>
      <c r="T165" s="809">
        <v>0</v>
      </c>
      <c r="U165" s="838">
        <v>0</v>
      </c>
      <c r="V165" s="839">
        <v>0</v>
      </c>
      <c r="W165" s="836">
        <v>0</v>
      </c>
      <c r="X165" s="840">
        <v>0</v>
      </c>
      <c r="Y165" s="841">
        <v>100</v>
      </c>
    </row>
    <row r="166" spans="1:25">
      <c r="A166" s="766" t="s">
        <v>226</v>
      </c>
      <c r="B166" s="836">
        <v>402</v>
      </c>
      <c r="C166" s="809">
        <v>100</v>
      </c>
      <c r="D166" s="809">
        <v>278</v>
      </c>
      <c r="E166" s="809">
        <v>69.2</v>
      </c>
      <c r="F166" s="809">
        <v>62</v>
      </c>
      <c r="G166" s="809">
        <v>15.4</v>
      </c>
      <c r="H166" s="809">
        <v>62</v>
      </c>
      <c r="I166" s="809">
        <v>15.4</v>
      </c>
      <c r="J166" s="837">
        <v>6.9</v>
      </c>
      <c r="L166" s="766" t="s">
        <v>226</v>
      </c>
      <c r="M166" s="836">
        <v>402</v>
      </c>
      <c r="N166" s="809">
        <v>0</v>
      </c>
      <c r="O166" s="809">
        <v>278</v>
      </c>
      <c r="P166" s="809">
        <v>0</v>
      </c>
      <c r="Q166" s="809">
        <v>62</v>
      </c>
      <c r="R166" s="809">
        <v>0.1</v>
      </c>
      <c r="S166" s="809">
        <v>62</v>
      </c>
      <c r="T166" s="809">
        <v>0.1</v>
      </c>
      <c r="U166" s="838">
        <v>0</v>
      </c>
      <c r="V166" s="839">
        <v>0</v>
      </c>
      <c r="W166" s="836">
        <v>0</v>
      </c>
      <c r="X166" s="840">
        <v>0</v>
      </c>
      <c r="Y166" s="841">
        <v>15.4</v>
      </c>
    </row>
    <row r="167" spans="1:25">
      <c r="A167" s="766" t="s">
        <v>227</v>
      </c>
      <c r="B167" s="836">
        <v>124</v>
      </c>
      <c r="C167" s="809">
        <v>100</v>
      </c>
      <c r="D167" s="809">
        <v>124</v>
      </c>
      <c r="E167" s="809">
        <v>100</v>
      </c>
      <c r="F167" s="809">
        <v>0</v>
      </c>
      <c r="G167" s="809">
        <v>0</v>
      </c>
      <c r="H167" s="809">
        <v>0</v>
      </c>
      <c r="I167" s="809">
        <v>0</v>
      </c>
      <c r="J167" s="837">
        <v>6</v>
      </c>
      <c r="L167" s="766" t="s">
        <v>227</v>
      </c>
      <c r="M167" s="836">
        <v>124</v>
      </c>
      <c r="N167" s="809">
        <v>0</v>
      </c>
      <c r="O167" s="809">
        <v>93</v>
      </c>
      <c r="P167" s="809">
        <v>0</v>
      </c>
      <c r="Q167" s="809">
        <v>31</v>
      </c>
      <c r="R167" s="809">
        <v>0</v>
      </c>
      <c r="S167" s="809">
        <v>0</v>
      </c>
      <c r="T167" s="809">
        <v>0</v>
      </c>
      <c r="U167" s="838">
        <v>0</v>
      </c>
      <c r="V167" s="839">
        <v>0</v>
      </c>
      <c r="W167" s="836">
        <v>0</v>
      </c>
      <c r="X167" s="840">
        <v>0</v>
      </c>
      <c r="Y167" s="841">
        <v>0</v>
      </c>
    </row>
    <row r="168" spans="1:25" ht="25.5">
      <c r="A168" s="766" t="s">
        <v>228</v>
      </c>
      <c r="B168" s="836">
        <v>31</v>
      </c>
      <c r="C168" s="809">
        <v>100</v>
      </c>
      <c r="D168" s="809">
        <v>0</v>
      </c>
      <c r="E168" s="809">
        <v>0</v>
      </c>
      <c r="F168" s="809">
        <v>31</v>
      </c>
      <c r="G168" s="809">
        <v>100</v>
      </c>
      <c r="H168" s="809">
        <v>0</v>
      </c>
      <c r="I168" s="809">
        <v>0</v>
      </c>
      <c r="J168" s="837">
        <v>1</v>
      </c>
      <c r="L168" s="766" t="s">
        <v>228</v>
      </c>
      <c r="M168" s="836">
        <v>31</v>
      </c>
      <c r="N168" s="809">
        <v>0</v>
      </c>
      <c r="O168" s="809">
        <v>31</v>
      </c>
      <c r="P168" s="809">
        <v>0</v>
      </c>
      <c r="Q168" s="809">
        <v>0</v>
      </c>
      <c r="R168" s="809">
        <v>0</v>
      </c>
      <c r="S168" s="809">
        <v>0</v>
      </c>
      <c r="T168" s="809">
        <v>0</v>
      </c>
      <c r="U168" s="838">
        <v>0</v>
      </c>
      <c r="V168" s="839">
        <v>0</v>
      </c>
      <c r="W168" s="836">
        <v>0</v>
      </c>
      <c r="X168" s="840">
        <v>0</v>
      </c>
      <c r="Y168" s="841">
        <v>0</v>
      </c>
    </row>
    <row r="169" spans="1:25">
      <c r="A169" s="766" t="s">
        <v>229</v>
      </c>
      <c r="B169" s="836">
        <v>154</v>
      </c>
      <c r="C169" s="809">
        <v>100</v>
      </c>
      <c r="D169" s="809">
        <v>124</v>
      </c>
      <c r="E169" s="809">
        <v>80</v>
      </c>
      <c r="F169" s="809">
        <v>31</v>
      </c>
      <c r="G169" s="809">
        <v>20</v>
      </c>
      <c r="H169" s="809">
        <v>0</v>
      </c>
      <c r="I169" s="809">
        <v>0</v>
      </c>
      <c r="J169" s="837">
        <v>10.199999999999999</v>
      </c>
      <c r="L169" s="766" t="s">
        <v>229</v>
      </c>
      <c r="M169" s="836">
        <v>154</v>
      </c>
      <c r="N169" s="809">
        <v>0</v>
      </c>
      <c r="O169" s="809">
        <v>62</v>
      </c>
      <c r="P169" s="809">
        <v>0</v>
      </c>
      <c r="Q169" s="809">
        <v>0</v>
      </c>
      <c r="R169" s="809">
        <v>0</v>
      </c>
      <c r="S169" s="809">
        <v>93</v>
      </c>
      <c r="T169" s="809">
        <v>0.1</v>
      </c>
      <c r="U169" s="838">
        <v>0</v>
      </c>
      <c r="V169" s="839">
        <v>0</v>
      </c>
      <c r="W169" s="836">
        <v>0</v>
      </c>
      <c r="X169" s="840">
        <v>0</v>
      </c>
      <c r="Y169" s="841">
        <v>40</v>
      </c>
    </row>
    <row r="170" spans="1:25">
      <c r="A170" s="766" t="s">
        <v>230</v>
      </c>
      <c r="B170" s="836">
        <v>31</v>
      </c>
      <c r="C170" s="809">
        <v>100</v>
      </c>
      <c r="D170" s="809">
        <v>0</v>
      </c>
      <c r="E170" s="809">
        <v>0</v>
      </c>
      <c r="F170" s="809">
        <v>31</v>
      </c>
      <c r="G170" s="809">
        <v>100</v>
      </c>
      <c r="H170" s="809">
        <v>0</v>
      </c>
      <c r="I170" s="809">
        <v>0</v>
      </c>
      <c r="J170" s="837">
        <v>28</v>
      </c>
      <c r="L170" s="766" t="s">
        <v>230</v>
      </c>
      <c r="M170" s="836">
        <v>31</v>
      </c>
      <c r="N170" s="809">
        <v>0</v>
      </c>
      <c r="O170" s="809">
        <v>0</v>
      </c>
      <c r="P170" s="809">
        <v>0</v>
      </c>
      <c r="Q170" s="809">
        <v>0</v>
      </c>
      <c r="R170" s="809">
        <v>0</v>
      </c>
      <c r="S170" s="809">
        <v>31</v>
      </c>
      <c r="T170" s="809">
        <v>0</v>
      </c>
      <c r="U170" s="838">
        <v>0</v>
      </c>
      <c r="V170" s="839">
        <v>0</v>
      </c>
      <c r="W170" s="836">
        <v>0</v>
      </c>
      <c r="X170" s="840">
        <v>0</v>
      </c>
      <c r="Y170" s="841">
        <v>0</v>
      </c>
    </row>
    <row r="171" spans="1:25">
      <c r="A171" s="766" t="s">
        <v>231</v>
      </c>
      <c r="B171" s="836">
        <v>93</v>
      </c>
      <c r="C171" s="809">
        <v>100</v>
      </c>
      <c r="D171" s="809">
        <v>31</v>
      </c>
      <c r="E171" s="809">
        <v>33.299999999999997</v>
      </c>
      <c r="F171" s="809">
        <v>31</v>
      </c>
      <c r="G171" s="809">
        <v>33.299999999999997</v>
      </c>
      <c r="H171" s="809">
        <v>31</v>
      </c>
      <c r="I171" s="809">
        <v>33.299999999999997</v>
      </c>
      <c r="J171" s="837">
        <v>5</v>
      </c>
      <c r="L171" s="766" t="s">
        <v>231</v>
      </c>
      <c r="M171" s="836">
        <v>93</v>
      </c>
      <c r="N171" s="809">
        <v>0</v>
      </c>
      <c r="O171" s="809">
        <v>93</v>
      </c>
      <c r="P171" s="809">
        <v>0</v>
      </c>
      <c r="Q171" s="809">
        <v>0</v>
      </c>
      <c r="R171" s="809">
        <v>0</v>
      </c>
      <c r="S171" s="809">
        <v>0</v>
      </c>
      <c r="T171" s="809">
        <v>0</v>
      </c>
      <c r="U171" s="838">
        <v>0</v>
      </c>
      <c r="V171" s="839">
        <v>0</v>
      </c>
      <c r="W171" s="836">
        <v>0</v>
      </c>
      <c r="X171" s="840">
        <v>0</v>
      </c>
      <c r="Y171" s="841">
        <v>0</v>
      </c>
    </row>
    <row r="172" spans="1:25">
      <c r="A172" s="766" t="s">
        <v>232</v>
      </c>
      <c r="B172" s="836">
        <v>108594</v>
      </c>
      <c r="C172" s="809">
        <v>100</v>
      </c>
      <c r="D172" s="809">
        <v>48381</v>
      </c>
      <c r="E172" s="809">
        <v>44.6</v>
      </c>
      <c r="F172" s="809">
        <v>56135</v>
      </c>
      <c r="G172" s="809">
        <v>51.7</v>
      </c>
      <c r="H172" s="809">
        <v>4078</v>
      </c>
      <c r="I172" s="809">
        <v>3.8</v>
      </c>
      <c r="J172" s="837">
        <v>8.6999999999999993</v>
      </c>
      <c r="L172" s="766" t="s">
        <v>232</v>
      </c>
      <c r="M172" s="836">
        <v>108594</v>
      </c>
      <c r="N172" s="809">
        <v>14</v>
      </c>
      <c r="O172" s="809">
        <v>72355</v>
      </c>
      <c r="P172" s="809">
        <v>12.5</v>
      </c>
      <c r="Q172" s="809">
        <v>18320</v>
      </c>
      <c r="R172" s="809">
        <v>19.100000000000001</v>
      </c>
      <c r="S172" s="809">
        <v>16034</v>
      </c>
      <c r="T172" s="809">
        <v>21.1</v>
      </c>
      <c r="U172" s="838">
        <v>1637.4</v>
      </c>
      <c r="V172" s="839">
        <v>12.9</v>
      </c>
      <c r="W172" s="836">
        <v>247</v>
      </c>
      <c r="X172" s="840">
        <v>8</v>
      </c>
      <c r="Y172" s="841">
        <v>12.3</v>
      </c>
    </row>
    <row r="173" spans="1:25">
      <c r="A173" s="766" t="s">
        <v>233</v>
      </c>
      <c r="B173" s="836">
        <v>91756</v>
      </c>
      <c r="C173" s="809">
        <v>100</v>
      </c>
      <c r="D173" s="809">
        <v>18876</v>
      </c>
      <c r="E173" s="809">
        <v>20.6</v>
      </c>
      <c r="F173" s="809">
        <v>68647</v>
      </c>
      <c r="G173" s="809">
        <v>74.8</v>
      </c>
      <c r="H173" s="809">
        <v>4233</v>
      </c>
      <c r="I173" s="809">
        <v>4.5999999999999996</v>
      </c>
      <c r="J173" s="837">
        <v>7.9</v>
      </c>
      <c r="L173" s="766" t="s">
        <v>233</v>
      </c>
      <c r="M173" s="836">
        <v>91756</v>
      </c>
      <c r="N173" s="809">
        <v>12</v>
      </c>
      <c r="O173" s="809">
        <v>69883</v>
      </c>
      <c r="P173" s="809">
        <v>12.1</v>
      </c>
      <c r="Q173" s="809">
        <v>11771</v>
      </c>
      <c r="R173" s="809">
        <v>12.3</v>
      </c>
      <c r="S173" s="809">
        <v>7754</v>
      </c>
      <c r="T173" s="809">
        <v>10.199999999999999</v>
      </c>
      <c r="U173" s="838">
        <v>1822.8</v>
      </c>
      <c r="V173" s="839">
        <v>14.3</v>
      </c>
      <c r="W173" s="836">
        <v>525</v>
      </c>
      <c r="X173" s="840">
        <v>17</v>
      </c>
      <c r="Y173" s="841">
        <v>9.8000000000000007</v>
      </c>
    </row>
    <row r="174" spans="1:25">
      <c r="A174" s="766" t="s">
        <v>234</v>
      </c>
      <c r="B174" s="836">
        <v>1792</v>
      </c>
      <c r="C174" s="809">
        <v>100</v>
      </c>
      <c r="D174" s="809">
        <v>1081</v>
      </c>
      <c r="E174" s="809">
        <v>60.3</v>
      </c>
      <c r="F174" s="809">
        <v>711</v>
      </c>
      <c r="G174" s="809">
        <v>39.700000000000003</v>
      </c>
      <c r="H174" s="809">
        <v>0</v>
      </c>
      <c r="I174" s="809">
        <v>0</v>
      </c>
      <c r="J174" s="837">
        <v>11.7</v>
      </c>
      <c r="L174" s="766" t="s">
        <v>234</v>
      </c>
      <c r="M174" s="836">
        <v>1792</v>
      </c>
      <c r="N174" s="809">
        <v>0</v>
      </c>
      <c r="O174" s="809">
        <v>741</v>
      </c>
      <c r="P174" s="809">
        <v>0.1</v>
      </c>
      <c r="Q174" s="809">
        <v>525</v>
      </c>
      <c r="R174" s="809">
        <v>0.5</v>
      </c>
      <c r="S174" s="809">
        <v>494</v>
      </c>
      <c r="T174" s="809">
        <v>0.7</v>
      </c>
      <c r="U174" s="838">
        <v>30.9</v>
      </c>
      <c r="V174" s="839">
        <v>0.2</v>
      </c>
      <c r="W174" s="836">
        <v>0</v>
      </c>
      <c r="X174" s="840">
        <v>0</v>
      </c>
      <c r="Y174" s="841">
        <v>24.1</v>
      </c>
    </row>
    <row r="175" spans="1:25">
      <c r="A175" s="766" t="s">
        <v>235</v>
      </c>
      <c r="B175" s="836">
        <v>247</v>
      </c>
      <c r="C175" s="809">
        <v>100</v>
      </c>
      <c r="D175" s="809">
        <v>185</v>
      </c>
      <c r="E175" s="809">
        <v>75</v>
      </c>
      <c r="F175" s="809">
        <v>62</v>
      </c>
      <c r="G175" s="809">
        <v>25</v>
      </c>
      <c r="H175" s="809">
        <v>0</v>
      </c>
      <c r="I175" s="809">
        <v>0</v>
      </c>
      <c r="J175" s="837">
        <v>4.0999999999999996</v>
      </c>
      <c r="L175" s="766" t="s">
        <v>235</v>
      </c>
      <c r="M175" s="836">
        <v>247</v>
      </c>
      <c r="N175" s="809">
        <v>0</v>
      </c>
      <c r="O175" s="809">
        <v>216</v>
      </c>
      <c r="P175" s="809">
        <v>0</v>
      </c>
      <c r="Q175" s="809">
        <v>31</v>
      </c>
      <c r="R175" s="809">
        <v>0</v>
      </c>
      <c r="S175" s="809">
        <v>0</v>
      </c>
      <c r="T175" s="809">
        <v>0</v>
      </c>
      <c r="U175" s="838">
        <v>0</v>
      </c>
      <c r="V175" s="839">
        <v>0</v>
      </c>
      <c r="W175" s="836">
        <v>0</v>
      </c>
      <c r="X175" s="840">
        <v>0</v>
      </c>
      <c r="Y175" s="841">
        <v>25</v>
      </c>
    </row>
    <row r="176" spans="1:25">
      <c r="A176" s="766" t="s">
        <v>236</v>
      </c>
      <c r="B176" s="836">
        <v>1174</v>
      </c>
      <c r="C176" s="809">
        <v>100</v>
      </c>
      <c r="D176" s="809">
        <v>556</v>
      </c>
      <c r="E176" s="809">
        <v>47.4</v>
      </c>
      <c r="F176" s="809">
        <v>556</v>
      </c>
      <c r="G176" s="809">
        <v>47.4</v>
      </c>
      <c r="H176" s="809">
        <v>62</v>
      </c>
      <c r="I176" s="809">
        <v>5.3</v>
      </c>
      <c r="J176" s="837">
        <v>5.0999999999999996</v>
      </c>
      <c r="L176" s="766" t="s">
        <v>236</v>
      </c>
      <c r="M176" s="836">
        <v>1174</v>
      </c>
      <c r="N176" s="809">
        <v>0</v>
      </c>
      <c r="O176" s="809">
        <v>927</v>
      </c>
      <c r="P176" s="809">
        <v>0.2</v>
      </c>
      <c r="Q176" s="809">
        <v>185</v>
      </c>
      <c r="R176" s="809">
        <v>0.2</v>
      </c>
      <c r="S176" s="809">
        <v>62</v>
      </c>
      <c r="T176" s="809">
        <v>0.1</v>
      </c>
      <c r="U176" s="838">
        <v>0</v>
      </c>
      <c r="V176" s="839">
        <v>0</v>
      </c>
      <c r="W176" s="836">
        <v>0</v>
      </c>
      <c r="X176" s="840">
        <v>0</v>
      </c>
      <c r="Y176" s="841">
        <v>23.7</v>
      </c>
    </row>
    <row r="177" spans="1:25">
      <c r="A177" s="766" t="s">
        <v>237</v>
      </c>
      <c r="B177" s="836">
        <v>1637</v>
      </c>
      <c r="C177" s="809">
        <v>100</v>
      </c>
      <c r="D177" s="809">
        <v>989</v>
      </c>
      <c r="E177" s="809">
        <v>60.4</v>
      </c>
      <c r="F177" s="809">
        <v>649</v>
      </c>
      <c r="G177" s="809">
        <v>39.6</v>
      </c>
      <c r="H177" s="809">
        <v>0</v>
      </c>
      <c r="I177" s="809">
        <v>0</v>
      </c>
      <c r="J177" s="837">
        <v>14.6</v>
      </c>
      <c r="L177" s="766" t="s">
        <v>237</v>
      </c>
      <c r="M177" s="836">
        <v>1637</v>
      </c>
      <c r="N177" s="809">
        <v>0</v>
      </c>
      <c r="O177" s="809">
        <v>1050</v>
      </c>
      <c r="P177" s="809">
        <v>0.2</v>
      </c>
      <c r="Q177" s="809">
        <v>340</v>
      </c>
      <c r="R177" s="809">
        <v>0.4</v>
      </c>
      <c r="S177" s="809">
        <v>62</v>
      </c>
      <c r="T177" s="809">
        <v>0.1</v>
      </c>
      <c r="U177" s="838">
        <v>185.4</v>
      </c>
      <c r="V177" s="839">
        <v>1.5</v>
      </c>
      <c r="W177" s="836">
        <v>0</v>
      </c>
      <c r="X177" s="840">
        <v>0</v>
      </c>
      <c r="Y177" s="841">
        <v>26.4</v>
      </c>
    </row>
    <row r="178" spans="1:25">
      <c r="A178" s="766" t="s">
        <v>238</v>
      </c>
      <c r="B178" s="836">
        <v>2070</v>
      </c>
      <c r="C178" s="809">
        <v>100</v>
      </c>
      <c r="D178" s="809">
        <v>1359</v>
      </c>
      <c r="E178" s="809">
        <v>65.7</v>
      </c>
      <c r="F178" s="809">
        <v>649</v>
      </c>
      <c r="G178" s="809">
        <v>31.3</v>
      </c>
      <c r="H178" s="809">
        <v>62</v>
      </c>
      <c r="I178" s="809">
        <v>3</v>
      </c>
      <c r="J178" s="837">
        <v>8.5</v>
      </c>
      <c r="L178" s="766" t="s">
        <v>238</v>
      </c>
      <c r="M178" s="836">
        <v>2070</v>
      </c>
      <c r="N178" s="809">
        <v>0</v>
      </c>
      <c r="O178" s="809">
        <v>1205</v>
      </c>
      <c r="P178" s="809">
        <v>0.2</v>
      </c>
      <c r="Q178" s="809">
        <v>556</v>
      </c>
      <c r="R178" s="809">
        <v>0.6</v>
      </c>
      <c r="S178" s="809">
        <v>309</v>
      </c>
      <c r="T178" s="809">
        <v>0.4</v>
      </c>
      <c r="U178" s="838">
        <v>0</v>
      </c>
      <c r="V178" s="839">
        <v>0</v>
      </c>
      <c r="W178" s="836">
        <v>0</v>
      </c>
      <c r="X178" s="840">
        <v>0</v>
      </c>
      <c r="Y178" s="841">
        <v>25.4</v>
      </c>
    </row>
    <row r="179" spans="1:25" ht="25.5">
      <c r="A179" s="766" t="s">
        <v>239</v>
      </c>
      <c r="B179" s="836">
        <v>62</v>
      </c>
      <c r="C179" s="809">
        <v>100</v>
      </c>
      <c r="D179" s="809">
        <v>0</v>
      </c>
      <c r="E179" s="809">
        <v>0</v>
      </c>
      <c r="F179" s="809">
        <v>62</v>
      </c>
      <c r="G179" s="809">
        <v>100</v>
      </c>
      <c r="H179" s="809">
        <v>0</v>
      </c>
      <c r="I179" s="809">
        <v>0</v>
      </c>
      <c r="J179" s="837">
        <v>4</v>
      </c>
      <c r="L179" s="766" t="s">
        <v>239</v>
      </c>
      <c r="M179" s="836">
        <v>62</v>
      </c>
      <c r="N179" s="848">
        <v>0</v>
      </c>
      <c r="O179" s="848">
        <v>62</v>
      </c>
      <c r="P179" s="848">
        <v>0</v>
      </c>
      <c r="Q179" s="848">
        <v>0</v>
      </c>
      <c r="R179" s="848">
        <v>0</v>
      </c>
      <c r="S179" s="848">
        <v>0</v>
      </c>
      <c r="T179" s="848">
        <v>0</v>
      </c>
      <c r="U179" s="838">
        <v>0</v>
      </c>
      <c r="V179" s="839">
        <v>0</v>
      </c>
      <c r="W179" s="836">
        <v>0</v>
      </c>
      <c r="X179" s="840">
        <v>0</v>
      </c>
      <c r="Y179" s="841">
        <v>0</v>
      </c>
    </row>
    <row r="180" spans="1:25">
      <c r="A180" s="766" t="s">
        <v>240</v>
      </c>
      <c r="B180" s="836">
        <v>185</v>
      </c>
      <c r="C180" s="848">
        <v>100</v>
      </c>
      <c r="D180" s="848">
        <v>0</v>
      </c>
      <c r="E180" s="848">
        <v>0</v>
      </c>
      <c r="F180" s="848">
        <v>185</v>
      </c>
      <c r="G180" s="848">
        <v>100</v>
      </c>
      <c r="H180" s="848">
        <v>0</v>
      </c>
      <c r="I180" s="848">
        <v>0</v>
      </c>
      <c r="J180" s="837">
        <v>3.3</v>
      </c>
      <c r="L180" s="766" t="s">
        <v>240</v>
      </c>
      <c r="M180" s="836">
        <v>185</v>
      </c>
      <c r="N180" s="809">
        <v>0</v>
      </c>
      <c r="O180" s="809">
        <v>185</v>
      </c>
      <c r="P180" s="809">
        <v>0</v>
      </c>
      <c r="Q180" s="809">
        <v>0</v>
      </c>
      <c r="R180" s="809">
        <v>0</v>
      </c>
      <c r="S180" s="809">
        <v>0</v>
      </c>
      <c r="T180" s="809">
        <v>0</v>
      </c>
      <c r="U180" s="838">
        <v>0</v>
      </c>
      <c r="V180" s="839">
        <v>0</v>
      </c>
      <c r="W180" s="836">
        <v>0</v>
      </c>
      <c r="X180" s="840">
        <v>0</v>
      </c>
      <c r="Y180" s="841">
        <v>33.299999999999997</v>
      </c>
    </row>
    <row r="181" spans="1:25" ht="25.5">
      <c r="A181" s="766" t="s">
        <v>241</v>
      </c>
      <c r="B181" s="836">
        <v>31</v>
      </c>
      <c r="C181" s="809">
        <v>100</v>
      </c>
      <c r="D181" s="809">
        <v>31</v>
      </c>
      <c r="E181" s="809">
        <v>100</v>
      </c>
      <c r="F181" s="809">
        <v>0</v>
      </c>
      <c r="G181" s="809">
        <v>0</v>
      </c>
      <c r="H181" s="809">
        <v>0</v>
      </c>
      <c r="I181" s="809">
        <v>0</v>
      </c>
      <c r="J181" s="837">
        <v>14</v>
      </c>
      <c r="L181" s="766" t="s">
        <v>241</v>
      </c>
      <c r="M181" s="836">
        <v>31</v>
      </c>
      <c r="N181" s="809">
        <v>0</v>
      </c>
      <c r="O181" s="809">
        <v>0</v>
      </c>
      <c r="P181" s="809">
        <v>0</v>
      </c>
      <c r="Q181" s="809">
        <v>31</v>
      </c>
      <c r="R181" s="809">
        <v>0</v>
      </c>
      <c r="S181" s="809">
        <v>0</v>
      </c>
      <c r="T181" s="809">
        <v>0</v>
      </c>
      <c r="U181" s="838">
        <v>0</v>
      </c>
      <c r="V181" s="839">
        <v>0</v>
      </c>
      <c r="W181" s="836">
        <v>0</v>
      </c>
      <c r="X181" s="840">
        <v>0</v>
      </c>
      <c r="Y181" s="841">
        <v>0</v>
      </c>
    </row>
    <row r="182" spans="1:25" ht="25.5">
      <c r="A182" s="766" t="s">
        <v>242</v>
      </c>
      <c r="B182" s="836">
        <v>587</v>
      </c>
      <c r="C182" s="809">
        <v>100</v>
      </c>
      <c r="D182" s="809">
        <v>247</v>
      </c>
      <c r="E182" s="809">
        <v>42.1</v>
      </c>
      <c r="F182" s="809">
        <v>340</v>
      </c>
      <c r="G182" s="809">
        <v>57.9</v>
      </c>
      <c r="H182" s="809">
        <v>0</v>
      </c>
      <c r="I182" s="809">
        <v>0</v>
      </c>
      <c r="J182" s="837">
        <v>18.600000000000001</v>
      </c>
      <c r="L182" s="766" t="s">
        <v>242</v>
      </c>
      <c r="M182" s="836">
        <v>587</v>
      </c>
      <c r="N182" s="809">
        <v>0</v>
      </c>
      <c r="O182" s="809">
        <v>309</v>
      </c>
      <c r="P182" s="809">
        <v>0.1</v>
      </c>
      <c r="Q182" s="809">
        <v>31</v>
      </c>
      <c r="R182" s="809">
        <v>0</v>
      </c>
      <c r="S182" s="809">
        <v>185</v>
      </c>
      <c r="T182" s="809">
        <v>0.2</v>
      </c>
      <c r="U182" s="838">
        <v>61.8</v>
      </c>
      <c r="V182" s="839">
        <v>0.5</v>
      </c>
      <c r="W182" s="836">
        <v>0</v>
      </c>
      <c r="X182" s="840">
        <v>0</v>
      </c>
      <c r="Y182" s="841">
        <v>21.1</v>
      </c>
    </row>
    <row r="183" spans="1:25">
      <c r="A183" s="766" t="s">
        <v>243</v>
      </c>
      <c r="B183" s="836">
        <v>463</v>
      </c>
      <c r="C183" s="809">
        <v>100</v>
      </c>
      <c r="D183" s="809">
        <v>124</v>
      </c>
      <c r="E183" s="809">
        <v>26.7</v>
      </c>
      <c r="F183" s="809">
        <v>340</v>
      </c>
      <c r="G183" s="809">
        <v>73.3</v>
      </c>
      <c r="H183" s="809">
        <v>0</v>
      </c>
      <c r="I183" s="809">
        <v>0</v>
      </c>
      <c r="J183" s="837">
        <v>3.7</v>
      </c>
      <c r="L183" s="766" t="s">
        <v>243</v>
      </c>
      <c r="M183" s="836">
        <v>463</v>
      </c>
      <c r="N183" s="809">
        <v>0</v>
      </c>
      <c r="O183" s="809">
        <v>402</v>
      </c>
      <c r="P183" s="809">
        <v>0.1</v>
      </c>
      <c r="Q183" s="809">
        <v>62</v>
      </c>
      <c r="R183" s="809">
        <v>0.1</v>
      </c>
      <c r="S183" s="809">
        <v>0</v>
      </c>
      <c r="T183" s="809">
        <v>0</v>
      </c>
      <c r="U183" s="838">
        <v>0</v>
      </c>
      <c r="V183" s="839">
        <v>0</v>
      </c>
      <c r="W183" s="836">
        <v>0</v>
      </c>
      <c r="X183" s="840">
        <v>0</v>
      </c>
      <c r="Y183" s="841">
        <v>26.7</v>
      </c>
    </row>
    <row r="184" spans="1:25">
      <c r="A184" s="766" t="s">
        <v>244</v>
      </c>
      <c r="B184" s="836">
        <v>402</v>
      </c>
      <c r="C184" s="809">
        <v>100</v>
      </c>
      <c r="D184" s="809">
        <v>309</v>
      </c>
      <c r="E184" s="809">
        <v>76.900000000000006</v>
      </c>
      <c r="F184" s="809">
        <v>93</v>
      </c>
      <c r="G184" s="809">
        <v>23.1</v>
      </c>
      <c r="H184" s="809">
        <v>0</v>
      </c>
      <c r="I184" s="809">
        <v>0</v>
      </c>
      <c r="J184" s="837">
        <v>38.4</v>
      </c>
      <c r="L184" s="766" t="s">
        <v>244</v>
      </c>
      <c r="M184" s="836">
        <v>402</v>
      </c>
      <c r="N184" s="809">
        <v>0</v>
      </c>
      <c r="O184" s="809">
        <v>216</v>
      </c>
      <c r="P184" s="809">
        <v>0</v>
      </c>
      <c r="Q184" s="809">
        <v>0</v>
      </c>
      <c r="R184" s="809">
        <v>0</v>
      </c>
      <c r="S184" s="809">
        <v>93</v>
      </c>
      <c r="T184" s="809">
        <v>0.1</v>
      </c>
      <c r="U184" s="838">
        <v>30.9</v>
      </c>
      <c r="V184" s="839">
        <v>0.2</v>
      </c>
      <c r="W184" s="836">
        <v>62</v>
      </c>
      <c r="X184" s="840">
        <v>2</v>
      </c>
      <c r="Y184" s="841">
        <v>23.1</v>
      </c>
    </row>
    <row r="185" spans="1:25">
      <c r="A185" s="766" t="s">
        <v>245</v>
      </c>
      <c r="B185" s="836">
        <v>2410</v>
      </c>
      <c r="C185" s="809">
        <v>100</v>
      </c>
      <c r="D185" s="809">
        <v>1236</v>
      </c>
      <c r="E185" s="809">
        <v>51.3</v>
      </c>
      <c r="F185" s="809">
        <v>1081</v>
      </c>
      <c r="G185" s="809">
        <v>44.9</v>
      </c>
      <c r="H185" s="809">
        <v>93</v>
      </c>
      <c r="I185" s="809">
        <v>3.8</v>
      </c>
      <c r="J185" s="837">
        <v>9.1999999999999993</v>
      </c>
      <c r="L185" s="766" t="s">
        <v>245</v>
      </c>
      <c r="M185" s="836">
        <v>2410</v>
      </c>
      <c r="N185" s="809">
        <v>0</v>
      </c>
      <c r="O185" s="809">
        <v>1699</v>
      </c>
      <c r="P185" s="809">
        <v>0.3</v>
      </c>
      <c r="Q185" s="809">
        <v>340</v>
      </c>
      <c r="R185" s="809">
        <v>0.4</v>
      </c>
      <c r="S185" s="809">
        <v>309</v>
      </c>
      <c r="T185" s="809">
        <v>0.4</v>
      </c>
      <c r="U185" s="838">
        <v>61.8</v>
      </c>
      <c r="V185" s="839">
        <v>0.5</v>
      </c>
      <c r="W185" s="836">
        <v>0</v>
      </c>
      <c r="X185" s="840">
        <v>0</v>
      </c>
      <c r="Y185" s="841">
        <v>23.1</v>
      </c>
    </row>
    <row r="186" spans="1:25">
      <c r="A186" s="766" t="s">
        <v>246</v>
      </c>
      <c r="B186" s="836">
        <v>371</v>
      </c>
      <c r="C186" s="809">
        <v>100</v>
      </c>
      <c r="D186" s="809">
        <v>154</v>
      </c>
      <c r="E186" s="809">
        <v>41.7</v>
      </c>
      <c r="F186" s="809">
        <v>216</v>
      </c>
      <c r="G186" s="809">
        <v>58.3</v>
      </c>
      <c r="H186" s="809">
        <v>0</v>
      </c>
      <c r="I186" s="809">
        <v>0</v>
      </c>
      <c r="J186" s="837">
        <v>13.8</v>
      </c>
      <c r="L186" s="766" t="s">
        <v>246</v>
      </c>
      <c r="M186" s="836">
        <v>371</v>
      </c>
      <c r="N186" s="809">
        <v>0</v>
      </c>
      <c r="O186" s="809">
        <v>247</v>
      </c>
      <c r="P186" s="809">
        <v>0</v>
      </c>
      <c r="Q186" s="809">
        <v>0</v>
      </c>
      <c r="R186" s="809">
        <v>0</v>
      </c>
      <c r="S186" s="809">
        <v>93</v>
      </c>
      <c r="T186" s="809">
        <v>0.1</v>
      </c>
      <c r="U186" s="838">
        <v>30.9</v>
      </c>
      <c r="V186" s="839">
        <v>0.2</v>
      </c>
      <c r="W186" s="836">
        <v>0</v>
      </c>
      <c r="X186" s="840">
        <v>0</v>
      </c>
      <c r="Y186" s="841">
        <v>25</v>
      </c>
    </row>
    <row r="187" spans="1:25" ht="25.5">
      <c r="A187" s="766" t="s">
        <v>247</v>
      </c>
      <c r="B187" s="836">
        <v>45847</v>
      </c>
      <c r="C187" s="809">
        <v>100</v>
      </c>
      <c r="D187" s="809">
        <v>25148</v>
      </c>
      <c r="E187" s="809">
        <v>54.9</v>
      </c>
      <c r="F187" s="809">
        <v>19433</v>
      </c>
      <c r="G187" s="809">
        <v>42.4</v>
      </c>
      <c r="H187" s="809">
        <v>1267</v>
      </c>
      <c r="I187" s="809">
        <v>2.8</v>
      </c>
      <c r="J187" s="837">
        <v>14</v>
      </c>
      <c r="L187" s="766" t="s">
        <v>247</v>
      </c>
      <c r="M187" s="836">
        <v>45847</v>
      </c>
      <c r="N187" s="809">
        <v>6</v>
      </c>
      <c r="O187" s="809">
        <v>22553</v>
      </c>
      <c r="P187" s="809">
        <v>3.9</v>
      </c>
      <c r="Q187" s="809">
        <v>10010</v>
      </c>
      <c r="R187" s="809">
        <v>10.4</v>
      </c>
      <c r="S187" s="809">
        <v>11153</v>
      </c>
      <c r="T187" s="809">
        <v>14.7</v>
      </c>
      <c r="U187" s="838">
        <v>1699.2</v>
      </c>
      <c r="V187" s="839">
        <v>13.3</v>
      </c>
      <c r="W187" s="836">
        <v>433</v>
      </c>
      <c r="X187" s="840">
        <v>14</v>
      </c>
      <c r="Y187" s="841">
        <v>24.1</v>
      </c>
    </row>
    <row r="188" spans="1:25" ht="38.25">
      <c r="A188" s="766" t="s">
        <v>248</v>
      </c>
      <c r="B188" s="836">
        <v>62283</v>
      </c>
      <c r="C188" s="809">
        <v>100</v>
      </c>
      <c r="D188" s="809">
        <v>9299</v>
      </c>
      <c r="E188" s="809">
        <v>14.9</v>
      </c>
      <c r="F188" s="809">
        <v>38587</v>
      </c>
      <c r="G188" s="809">
        <v>62</v>
      </c>
      <c r="H188" s="809">
        <v>14397</v>
      </c>
      <c r="I188" s="809">
        <v>23.1</v>
      </c>
      <c r="J188" s="837">
        <v>8.9</v>
      </c>
      <c r="L188" s="766" t="s">
        <v>248</v>
      </c>
      <c r="M188" s="836">
        <v>62283</v>
      </c>
      <c r="N188" s="809">
        <v>8</v>
      </c>
      <c r="O188" s="809">
        <v>42943</v>
      </c>
      <c r="P188" s="809">
        <v>7.4</v>
      </c>
      <c r="Q188" s="809">
        <v>10257</v>
      </c>
      <c r="R188" s="809">
        <v>10.7</v>
      </c>
      <c r="S188" s="809">
        <v>7106</v>
      </c>
      <c r="T188" s="809">
        <v>9.4</v>
      </c>
      <c r="U188" s="838">
        <v>1822.8</v>
      </c>
      <c r="V188" s="839">
        <v>14.3</v>
      </c>
      <c r="W188" s="836">
        <v>154</v>
      </c>
      <c r="X188" s="840">
        <v>5</v>
      </c>
      <c r="Y188" s="841">
        <v>6</v>
      </c>
    </row>
    <row r="189" spans="1:25" ht="38.25">
      <c r="A189" s="766" t="s">
        <v>249</v>
      </c>
      <c r="B189" s="836">
        <v>36332</v>
      </c>
      <c r="C189" s="809">
        <v>100</v>
      </c>
      <c r="D189" s="809">
        <v>21008</v>
      </c>
      <c r="E189" s="809">
        <v>57.8</v>
      </c>
      <c r="F189" s="809">
        <v>12636</v>
      </c>
      <c r="G189" s="809">
        <v>34.799999999999997</v>
      </c>
      <c r="H189" s="809">
        <v>2688</v>
      </c>
      <c r="I189" s="809">
        <v>7.4</v>
      </c>
      <c r="J189" s="837">
        <v>11.3</v>
      </c>
      <c r="L189" s="766" t="s">
        <v>249</v>
      </c>
      <c r="M189" s="836">
        <v>36332</v>
      </c>
      <c r="N189" s="809">
        <v>5</v>
      </c>
      <c r="O189" s="809">
        <v>19247</v>
      </c>
      <c r="P189" s="809">
        <v>3.3</v>
      </c>
      <c r="Q189" s="809">
        <v>9701</v>
      </c>
      <c r="R189" s="809">
        <v>10.1</v>
      </c>
      <c r="S189" s="809">
        <v>6302</v>
      </c>
      <c r="T189" s="809">
        <v>8.3000000000000007</v>
      </c>
      <c r="U189" s="838">
        <v>895.9</v>
      </c>
      <c r="V189" s="839">
        <v>7</v>
      </c>
      <c r="W189" s="836">
        <v>185</v>
      </c>
      <c r="X189" s="840">
        <v>6</v>
      </c>
      <c r="Y189" s="841">
        <v>14.1</v>
      </c>
    </row>
    <row r="190" spans="1:25" ht="25.5">
      <c r="A190" s="766" t="s">
        <v>250</v>
      </c>
      <c r="B190" s="836">
        <v>154</v>
      </c>
      <c r="C190" s="809">
        <v>100</v>
      </c>
      <c r="D190" s="809">
        <v>93</v>
      </c>
      <c r="E190" s="809">
        <v>60</v>
      </c>
      <c r="F190" s="809">
        <v>62</v>
      </c>
      <c r="G190" s="809">
        <v>40</v>
      </c>
      <c r="H190" s="809">
        <v>0</v>
      </c>
      <c r="I190" s="809">
        <v>0</v>
      </c>
      <c r="J190" s="837">
        <v>4.5999999999999996</v>
      </c>
      <c r="L190" s="766" t="s">
        <v>250</v>
      </c>
      <c r="M190" s="836">
        <v>154</v>
      </c>
      <c r="N190" s="809">
        <v>0</v>
      </c>
      <c r="O190" s="809">
        <v>93</v>
      </c>
      <c r="P190" s="809">
        <v>0</v>
      </c>
      <c r="Q190" s="809">
        <v>62</v>
      </c>
      <c r="R190" s="809">
        <v>0.1</v>
      </c>
      <c r="S190" s="809">
        <v>0</v>
      </c>
      <c r="T190" s="809">
        <v>0</v>
      </c>
      <c r="U190" s="838">
        <v>0</v>
      </c>
      <c r="V190" s="839">
        <v>0</v>
      </c>
      <c r="W190" s="836">
        <v>0</v>
      </c>
      <c r="X190" s="840">
        <v>0</v>
      </c>
      <c r="Y190" s="841">
        <v>0</v>
      </c>
    </row>
    <row r="191" spans="1:25">
      <c r="A191" s="766" t="s">
        <v>251</v>
      </c>
      <c r="B191" s="836">
        <v>93</v>
      </c>
      <c r="C191" s="809">
        <v>100</v>
      </c>
      <c r="D191" s="809">
        <v>0</v>
      </c>
      <c r="E191" s="809">
        <v>0</v>
      </c>
      <c r="F191" s="809">
        <v>62</v>
      </c>
      <c r="G191" s="809">
        <v>66.7</v>
      </c>
      <c r="H191" s="809">
        <v>31</v>
      </c>
      <c r="I191" s="809">
        <v>33.299999999999997</v>
      </c>
      <c r="J191" s="837">
        <v>4</v>
      </c>
      <c r="L191" s="766" t="s">
        <v>251</v>
      </c>
      <c r="M191" s="836">
        <v>93</v>
      </c>
      <c r="N191" s="809">
        <v>0</v>
      </c>
      <c r="O191" s="809">
        <v>93</v>
      </c>
      <c r="P191" s="809">
        <v>0</v>
      </c>
      <c r="Q191" s="809">
        <v>0</v>
      </c>
      <c r="R191" s="809">
        <v>0</v>
      </c>
      <c r="S191" s="809">
        <v>0</v>
      </c>
      <c r="T191" s="809">
        <v>0</v>
      </c>
      <c r="U191" s="838">
        <v>0</v>
      </c>
      <c r="V191" s="839">
        <v>0</v>
      </c>
      <c r="W191" s="836">
        <v>0</v>
      </c>
      <c r="X191" s="840">
        <v>0</v>
      </c>
      <c r="Y191" s="841">
        <v>0</v>
      </c>
    </row>
    <row r="192" spans="1:25">
      <c r="A192" s="766" t="s">
        <v>252</v>
      </c>
      <c r="B192" s="836">
        <v>124</v>
      </c>
      <c r="C192" s="809">
        <v>100</v>
      </c>
      <c r="D192" s="809">
        <v>62</v>
      </c>
      <c r="E192" s="809">
        <v>50</v>
      </c>
      <c r="F192" s="809">
        <v>0</v>
      </c>
      <c r="G192" s="809">
        <v>0</v>
      </c>
      <c r="H192" s="809">
        <v>62</v>
      </c>
      <c r="I192" s="809">
        <v>50</v>
      </c>
      <c r="J192" s="837">
        <v>6.3</v>
      </c>
      <c r="L192" s="766" t="s">
        <v>252</v>
      </c>
      <c r="M192" s="836">
        <v>124</v>
      </c>
      <c r="N192" s="809">
        <v>0</v>
      </c>
      <c r="O192" s="809">
        <v>93</v>
      </c>
      <c r="P192" s="809">
        <v>0</v>
      </c>
      <c r="Q192" s="809">
        <v>31</v>
      </c>
      <c r="R192" s="809">
        <v>0</v>
      </c>
      <c r="S192" s="809">
        <v>0</v>
      </c>
      <c r="T192" s="809">
        <v>0</v>
      </c>
      <c r="U192" s="838">
        <v>0</v>
      </c>
      <c r="V192" s="839">
        <v>0</v>
      </c>
      <c r="W192" s="836">
        <v>0</v>
      </c>
      <c r="X192" s="840">
        <v>0</v>
      </c>
      <c r="Y192" s="841">
        <v>0</v>
      </c>
    </row>
    <row r="193" spans="1:25">
      <c r="A193" s="766" t="s">
        <v>253</v>
      </c>
      <c r="B193" s="836">
        <v>31</v>
      </c>
      <c r="C193" s="809">
        <v>100</v>
      </c>
      <c r="D193" s="809">
        <v>0</v>
      </c>
      <c r="E193" s="809">
        <v>0</v>
      </c>
      <c r="F193" s="809">
        <v>31</v>
      </c>
      <c r="G193" s="809">
        <v>100</v>
      </c>
      <c r="H193" s="809">
        <v>0</v>
      </c>
      <c r="I193" s="809">
        <v>0</v>
      </c>
      <c r="J193" s="837">
        <v>1</v>
      </c>
      <c r="L193" s="766" t="s">
        <v>253</v>
      </c>
      <c r="M193" s="836">
        <v>31</v>
      </c>
      <c r="N193" s="809">
        <v>0</v>
      </c>
      <c r="O193" s="809">
        <v>31</v>
      </c>
      <c r="P193" s="809">
        <v>0</v>
      </c>
      <c r="Q193" s="809">
        <v>0</v>
      </c>
      <c r="R193" s="809">
        <v>0</v>
      </c>
      <c r="S193" s="809">
        <v>0</v>
      </c>
      <c r="T193" s="809">
        <v>0</v>
      </c>
      <c r="U193" s="838">
        <v>0</v>
      </c>
      <c r="V193" s="839">
        <v>0</v>
      </c>
      <c r="W193" s="836">
        <v>0</v>
      </c>
      <c r="X193" s="840">
        <v>0</v>
      </c>
      <c r="Y193" s="841">
        <v>0</v>
      </c>
    </row>
    <row r="194" spans="1:25" ht="13.5" thickBot="1">
      <c r="A194" s="762" t="s">
        <v>254</v>
      </c>
      <c r="B194" s="842">
        <v>63766</v>
      </c>
      <c r="C194" s="843">
        <v>100</v>
      </c>
      <c r="D194" s="843">
        <v>9794</v>
      </c>
      <c r="E194" s="843">
        <v>15.4</v>
      </c>
      <c r="F194" s="843">
        <v>37784</v>
      </c>
      <c r="G194" s="843">
        <v>59.3</v>
      </c>
      <c r="H194" s="843">
        <v>16189</v>
      </c>
      <c r="I194" s="843">
        <v>25.4</v>
      </c>
      <c r="J194" s="807">
        <v>5.3</v>
      </c>
      <c r="L194" s="762" t="s">
        <v>254</v>
      </c>
      <c r="M194" s="849">
        <v>63766</v>
      </c>
      <c r="N194" s="849">
        <v>8.3000000000000007</v>
      </c>
      <c r="O194" s="849">
        <v>54899</v>
      </c>
      <c r="P194" s="849">
        <v>9.5</v>
      </c>
      <c r="Q194" s="849">
        <v>4974</v>
      </c>
      <c r="R194" s="849">
        <v>5.2</v>
      </c>
      <c r="S194" s="849">
        <v>3398</v>
      </c>
      <c r="T194" s="849">
        <v>4.5</v>
      </c>
      <c r="U194" s="849">
        <v>340</v>
      </c>
      <c r="V194" s="849">
        <v>2.7</v>
      </c>
      <c r="W194" s="849">
        <v>154</v>
      </c>
      <c r="X194" s="847">
        <v>5</v>
      </c>
      <c r="Y194" s="820">
        <v>6.3</v>
      </c>
    </row>
    <row r="196" spans="1:25">
      <c r="B196" s="778">
        <f>+SUM(B81:B194)</f>
        <v>766899</v>
      </c>
      <c r="C196" s="778" t="s">
        <v>104</v>
      </c>
      <c r="D196" s="778">
        <f>+SUM(D81:D194)</f>
        <v>206132</v>
      </c>
      <c r="E196" s="778"/>
      <c r="F196" s="778">
        <f>+SUM(F81:F194)</f>
        <v>459960</v>
      </c>
      <c r="G196" s="778"/>
      <c r="H196" s="778">
        <f>+SUM(H81:H194)</f>
        <v>100813</v>
      </c>
      <c r="I196" s="778"/>
      <c r="J196" s="778"/>
      <c r="M196" s="778">
        <f>+SUM(M81:M194)</f>
        <v>766899</v>
      </c>
      <c r="N196" s="778" t="s">
        <v>104</v>
      </c>
      <c r="O196" s="778">
        <f t="shared" ref="O196:W196" si="8">+SUM(O81:O194)</f>
        <v>579155</v>
      </c>
      <c r="P196" s="778"/>
      <c r="Q196" s="778">
        <f t="shared" si="8"/>
        <v>96088</v>
      </c>
      <c r="R196" s="778"/>
      <c r="S196" s="778">
        <f t="shared" si="8"/>
        <v>75849</v>
      </c>
      <c r="U196" s="778">
        <f t="shared" si="8"/>
        <v>12728.899999999998</v>
      </c>
      <c r="W196" s="778">
        <f t="shared" si="8"/>
        <v>3091</v>
      </c>
      <c r="Y196" s="757">
        <f>AVERAGE(Y81:Y194)</f>
        <v>17.543859649122805</v>
      </c>
    </row>
    <row r="197" spans="1:25">
      <c r="B197" s="778">
        <f>+D196+F196+H196</f>
        <v>766905</v>
      </c>
      <c r="M197" s="778">
        <f>+SUM(O196:W196)</f>
        <v>766911.9</v>
      </c>
    </row>
    <row r="201" spans="1:25">
      <c r="A201" s="757" t="s">
        <v>553</v>
      </c>
      <c r="D201" s="757" t="s">
        <v>554</v>
      </c>
    </row>
    <row r="202" spans="1:25">
      <c r="A202" s="850" t="s">
        <v>497</v>
      </c>
      <c r="B202" s="594"/>
      <c r="C202" s="594"/>
      <c r="D202" s="594"/>
      <c r="E202" s="594"/>
      <c r="F202" s="594"/>
      <c r="G202" s="594"/>
      <c r="H202" s="594"/>
      <c r="I202" s="594"/>
      <c r="J202" s="594"/>
      <c r="K202" s="594"/>
    </row>
    <row r="203" spans="1:25">
      <c r="A203" s="850" t="s">
        <v>498</v>
      </c>
      <c r="B203" s="594"/>
      <c r="C203" s="594"/>
      <c r="D203" s="594"/>
      <c r="E203" s="594"/>
      <c r="F203" s="594"/>
      <c r="G203" s="594"/>
      <c r="H203" s="594"/>
      <c r="I203" s="594"/>
      <c r="J203" s="594"/>
      <c r="K203" s="594"/>
    </row>
    <row r="204" spans="1:25">
      <c r="A204" s="850" t="s">
        <v>499</v>
      </c>
      <c r="B204" s="594"/>
      <c r="C204" s="594"/>
      <c r="D204" s="594"/>
      <c r="E204" s="594"/>
      <c r="F204" s="594"/>
      <c r="G204" s="594"/>
      <c r="H204" s="594"/>
      <c r="I204" s="594"/>
      <c r="J204" s="594"/>
      <c r="K204" s="594"/>
    </row>
    <row r="205" spans="1:25">
      <c r="A205" s="850" t="s">
        <v>500</v>
      </c>
      <c r="B205" s="594"/>
      <c r="C205" s="594"/>
      <c r="D205" s="594"/>
      <c r="E205" s="594"/>
      <c r="F205" s="594"/>
      <c r="G205" s="594"/>
      <c r="H205" s="594"/>
      <c r="I205" s="594"/>
      <c r="J205" s="594"/>
      <c r="K205" s="594"/>
    </row>
    <row r="206" spans="1:25">
      <c r="A206" s="850"/>
      <c r="B206" s="594"/>
      <c r="C206" s="594"/>
      <c r="D206" s="594"/>
      <c r="E206" s="594"/>
      <c r="F206" s="594"/>
      <c r="G206" s="594"/>
      <c r="H206" s="594"/>
      <c r="I206" s="594"/>
      <c r="J206" s="594"/>
      <c r="K206" s="594"/>
    </row>
    <row r="207" spans="1:25">
      <c r="A207" s="594"/>
      <c r="B207" s="850" t="s">
        <v>501</v>
      </c>
      <c r="C207" s="594"/>
      <c r="D207" s="594"/>
      <c r="E207" s="594"/>
      <c r="F207" s="594"/>
      <c r="G207" s="594"/>
      <c r="H207" s="594"/>
      <c r="I207" s="594"/>
      <c r="J207" s="594"/>
      <c r="K207" s="594"/>
    </row>
    <row r="208" spans="1:25">
      <c r="A208" s="850" t="s">
        <v>104</v>
      </c>
      <c r="B208" s="850" t="s">
        <v>502</v>
      </c>
      <c r="C208" s="594"/>
      <c r="D208" s="594"/>
      <c r="E208" s="594"/>
      <c r="F208" s="594"/>
      <c r="G208" s="594"/>
      <c r="H208" s="594"/>
      <c r="I208" s="594"/>
      <c r="J208" s="594"/>
      <c r="K208" s="594"/>
    </row>
    <row r="209" spans="1:11">
      <c r="A209" s="850">
        <v>1</v>
      </c>
      <c r="B209" s="850" t="s">
        <v>503</v>
      </c>
      <c r="C209" s="850" t="s">
        <v>504</v>
      </c>
      <c r="D209" s="594"/>
      <c r="E209" s="594"/>
      <c r="F209" s="594"/>
      <c r="G209" s="594"/>
      <c r="H209" s="594"/>
      <c r="I209" s="594"/>
      <c r="J209" s="594"/>
      <c r="K209" s="594"/>
    </row>
    <row r="210" spans="1:11">
      <c r="A210" s="594"/>
      <c r="B210" s="594"/>
      <c r="C210" s="594"/>
      <c r="D210" s="594"/>
      <c r="E210" s="850" t="s">
        <v>505</v>
      </c>
      <c r="F210" s="594"/>
      <c r="H210" s="594"/>
      <c r="I210" s="594"/>
      <c r="J210" s="594"/>
    </row>
    <row r="211" spans="1:11">
      <c r="A211" s="594"/>
      <c r="B211" s="594"/>
      <c r="C211" s="850" t="s">
        <v>506</v>
      </c>
      <c r="D211" s="594"/>
      <c r="E211" s="594"/>
      <c r="H211" s="594"/>
      <c r="I211" s="594"/>
      <c r="J211" s="594"/>
    </row>
    <row r="212" spans="1:11">
      <c r="A212" s="594"/>
      <c r="B212" s="594"/>
      <c r="C212" s="850" t="s">
        <v>507</v>
      </c>
      <c r="D212" s="594"/>
      <c r="E212" s="594"/>
      <c r="H212" s="594"/>
      <c r="I212" s="594"/>
      <c r="J212" s="594"/>
    </row>
    <row r="213" spans="1:11">
      <c r="A213" s="594"/>
      <c r="B213" s="594"/>
      <c r="C213" s="594"/>
      <c r="D213" s="594"/>
      <c r="E213" s="850" t="s">
        <v>508</v>
      </c>
      <c r="F213" s="594"/>
      <c r="H213" s="594"/>
      <c r="I213" s="594"/>
      <c r="J213" s="594"/>
    </row>
    <row r="214" spans="1:11">
      <c r="A214" s="850">
        <v>2</v>
      </c>
      <c r="B214" s="850" t="s">
        <v>509</v>
      </c>
      <c r="C214" s="594"/>
      <c r="D214" s="594"/>
      <c r="E214" s="594"/>
      <c r="F214" s="594"/>
      <c r="G214" s="594"/>
      <c r="H214" s="594"/>
      <c r="I214" s="594"/>
      <c r="J214" s="594"/>
      <c r="K214" s="594"/>
    </row>
    <row r="215" spans="1:11">
      <c r="A215" s="850">
        <v>3</v>
      </c>
      <c r="B215" s="850" t="s">
        <v>510</v>
      </c>
      <c r="C215" s="594"/>
      <c r="D215" s="594"/>
      <c r="E215" s="594"/>
      <c r="F215" s="594"/>
      <c r="G215" s="594"/>
      <c r="H215" s="594"/>
      <c r="I215" s="594"/>
      <c r="J215" s="594"/>
      <c r="K215" s="594"/>
    </row>
    <row r="216" spans="1:11">
      <c r="A216" s="850">
        <v>4</v>
      </c>
      <c r="B216" s="850" t="s">
        <v>511</v>
      </c>
      <c r="C216" s="594"/>
      <c r="D216" s="594"/>
      <c r="E216" s="594"/>
      <c r="F216" s="594"/>
      <c r="G216" s="594"/>
      <c r="H216" s="594"/>
      <c r="I216" s="594"/>
      <c r="J216" s="594"/>
      <c r="K216" s="594"/>
    </row>
    <row r="217" spans="1:11">
      <c r="A217" s="850">
        <v>5</v>
      </c>
      <c r="B217" s="850" t="s">
        <v>512</v>
      </c>
      <c r="C217" s="594"/>
      <c r="D217" s="594"/>
      <c r="E217" s="594"/>
      <c r="F217" s="594"/>
      <c r="G217" s="594"/>
      <c r="H217" s="594"/>
      <c r="I217" s="594"/>
      <c r="J217" s="594"/>
      <c r="K217" s="594"/>
    </row>
    <row r="218" spans="1:11">
      <c r="A218" s="594"/>
      <c r="B218" s="850" t="s">
        <v>513</v>
      </c>
      <c r="C218" s="850" t="s">
        <v>514</v>
      </c>
      <c r="D218" s="850" t="s">
        <v>515</v>
      </c>
      <c r="E218" s="850" t="s">
        <v>516</v>
      </c>
      <c r="F218" s="850" t="s">
        <v>517</v>
      </c>
      <c r="G218" s="850" t="s">
        <v>552</v>
      </c>
      <c r="H218" s="594"/>
      <c r="I218" s="594"/>
      <c r="J218" s="594"/>
      <c r="K218" s="594"/>
    </row>
    <row r="219" spans="1:11">
      <c r="A219" s="850" t="s">
        <v>104</v>
      </c>
      <c r="B219" s="850" t="s">
        <v>518</v>
      </c>
      <c r="C219" s="594"/>
      <c r="D219" s="594"/>
      <c r="E219" s="594"/>
      <c r="F219" s="594"/>
      <c r="G219" s="594"/>
      <c r="H219" s="594"/>
      <c r="I219" s="594"/>
      <c r="J219" s="594"/>
      <c r="K219" s="594"/>
    </row>
    <row r="220" spans="1:11">
      <c r="A220" s="850" t="s">
        <v>104</v>
      </c>
      <c r="B220" s="850" t="s">
        <v>519</v>
      </c>
      <c r="C220" s="594"/>
      <c r="D220" s="594"/>
      <c r="E220" s="594"/>
      <c r="F220" s="594"/>
      <c r="G220" s="594"/>
      <c r="H220" s="594"/>
      <c r="I220" s="594"/>
      <c r="J220" s="594"/>
      <c r="K220" s="594"/>
    </row>
    <row r="221" spans="1:11">
      <c r="A221" s="850">
        <v>6</v>
      </c>
      <c r="B221" s="594"/>
      <c r="C221" s="594"/>
      <c r="D221" s="594"/>
      <c r="E221" s="594"/>
      <c r="F221" s="594"/>
      <c r="G221" s="594"/>
      <c r="H221" s="594"/>
      <c r="I221" s="594"/>
      <c r="J221" s="594"/>
      <c r="K221" s="594"/>
    </row>
    <row r="222" spans="1:11">
      <c r="A222" s="850">
        <v>7</v>
      </c>
      <c r="B222" s="850" t="s">
        <v>520</v>
      </c>
      <c r="C222" s="594"/>
      <c r="D222" s="594"/>
      <c r="E222" s="594"/>
      <c r="F222" s="594"/>
      <c r="G222" s="594"/>
      <c r="H222" s="594"/>
      <c r="I222" s="594"/>
      <c r="J222" s="594"/>
      <c r="K222" s="594"/>
    </row>
    <row r="223" spans="1:11">
      <c r="B223" s="850" t="s">
        <v>521</v>
      </c>
      <c r="C223" s="594"/>
      <c r="D223" s="594"/>
      <c r="E223" s="594"/>
      <c r="F223" s="594"/>
      <c r="G223" s="594"/>
      <c r="H223" s="594"/>
      <c r="I223" s="594"/>
      <c r="J223" s="594"/>
      <c r="K223" s="594"/>
    </row>
    <row r="224" spans="1:11">
      <c r="A224" s="850">
        <v>8</v>
      </c>
      <c r="B224" s="850" t="s">
        <v>522</v>
      </c>
      <c r="C224" s="594"/>
      <c r="D224" s="594"/>
      <c r="E224" s="594"/>
      <c r="F224" s="594"/>
      <c r="G224" s="594"/>
      <c r="H224" s="594"/>
      <c r="I224" s="594"/>
      <c r="J224" s="594"/>
      <c r="K224" s="594"/>
    </row>
    <row r="225" spans="1:11">
      <c r="A225" s="594"/>
      <c r="B225" s="850" t="s">
        <v>523</v>
      </c>
      <c r="C225" s="594"/>
      <c r="D225" s="594"/>
      <c r="E225" s="594"/>
      <c r="F225" s="594"/>
      <c r="G225" s="594"/>
      <c r="H225" s="594"/>
      <c r="I225" s="594"/>
      <c r="J225" s="594"/>
      <c r="K225" s="594"/>
    </row>
    <row r="226" spans="1:11">
      <c r="A226" s="850">
        <v>9</v>
      </c>
      <c r="B226" s="850" t="s">
        <v>524</v>
      </c>
      <c r="C226" s="594"/>
      <c r="D226" s="594"/>
      <c r="E226" s="594"/>
      <c r="F226" s="594"/>
      <c r="G226" s="594"/>
      <c r="H226" s="594"/>
      <c r="I226" s="594"/>
      <c r="J226" s="594"/>
      <c r="K226" s="594"/>
    </row>
    <row r="227" spans="1:11">
      <c r="A227" s="850" t="s">
        <v>104</v>
      </c>
      <c r="B227" s="850" t="s">
        <v>523</v>
      </c>
      <c r="C227" s="594"/>
      <c r="D227" s="594"/>
      <c r="E227" s="594"/>
      <c r="F227" s="594"/>
      <c r="G227" s="594"/>
      <c r="H227" s="594"/>
      <c r="I227" s="594"/>
      <c r="J227" s="594"/>
      <c r="K227" s="594"/>
    </row>
    <row r="228" spans="1:11">
      <c r="A228" s="850" t="s">
        <v>104</v>
      </c>
      <c r="B228" s="850" t="s">
        <v>525</v>
      </c>
      <c r="C228" s="594"/>
      <c r="D228" s="594"/>
      <c r="E228" s="594"/>
      <c r="F228" s="594"/>
      <c r="G228" s="594"/>
      <c r="H228" s="594"/>
      <c r="I228" s="594"/>
      <c r="J228" s="594"/>
      <c r="K228" s="594"/>
    </row>
    <row r="229" spans="1:11">
      <c r="A229" s="850">
        <v>10</v>
      </c>
      <c r="B229" s="850" t="s">
        <v>526</v>
      </c>
      <c r="C229" s="594"/>
      <c r="D229" s="594"/>
      <c r="E229" s="594"/>
      <c r="F229" s="594"/>
      <c r="G229" s="594"/>
      <c r="H229" s="594"/>
      <c r="I229" s="594"/>
      <c r="J229" s="594"/>
      <c r="K229" s="594"/>
    </row>
    <row r="230" spans="1:11">
      <c r="A230" s="850">
        <v>11</v>
      </c>
      <c r="B230" s="850" t="s">
        <v>527</v>
      </c>
      <c r="C230" s="594"/>
      <c r="D230" s="594"/>
      <c r="E230" s="594"/>
      <c r="F230" s="594"/>
      <c r="G230" s="594"/>
      <c r="H230" s="594"/>
      <c r="I230" s="594"/>
      <c r="J230" s="594"/>
      <c r="K230" s="594"/>
    </row>
    <row r="231" spans="1:11">
      <c r="A231" s="850" t="s">
        <v>104</v>
      </c>
      <c r="B231" s="850" t="s">
        <v>528</v>
      </c>
      <c r="C231" s="594"/>
      <c r="D231" s="850" t="s">
        <v>550</v>
      </c>
      <c r="E231" s="594"/>
      <c r="F231" s="594"/>
      <c r="G231" s="594"/>
      <c r="H231" s="594"/>
      <c r="I231" s="594"/>
      <c r="J231" s="594"/>
      <c r="K231" s="594"/>
    </row>
    <row r="232" spans="1:11">
      <c r="B232" s="850" t="s">
        <v>529</v>
      </c>
      <c r="C232" s="594"/>
      <c r="D232" s="850" t="s">
        <v>551</v>
      </c>
      <c r="E232" s="594"/>
      <c r="F232" s="594"/>
      <c r="G232" s="594"/>
      <c r="H232" s="594"/>
      <c r="I232" s="594"/>
      <c r="J232" s="594"/>
      <c r="K232" s="594"/>
    </row>
    <row r="233" spans="1:11">
      <c r="B233" s="850"/>
      <c r="C233" s="594"/>
      <c r="E233" s="594"/>
      <c r="F233" s="594"/>
      <c r="G233" s="594"/>
      <c r="H233" s="594"/>
      <c r="I233" s="594"/>
      <c r="J233" s="594"/>
      <c r="K233" s="594"/>
    </row>
    <row r="234" spans="1:11">
      <c r="A234" s="850">
        <v>12</v>
      </c>
      <c r="B234" s="850" t="s">
        <v>530</v>
      </c>
      <c r="C234" s="594"/>
      <c r="D234" s="594"/>
      <c r="E234" s="594"/>
      <c r="F234" s="594"/>
      <c r="G234" s="594"/>
      <c r="H234" s="594"/>
      <c r="I234" s="594"/>
      <c r="J234" s="594"/>
      <c r="K234" s="594"/>
    </row>
    <row r="235" spans="1:11">
      <c r="A235" s="850" t="s">
        <v>104</v>
      </c>
      <c r="B235" s="850" t="s">
        <v>266</v>
      </c>
      <c r="C235" s="594"/>
      <c r="D235" s="850" t="s">
        <v>267</v>
      </c>
      <c r="E235" s="594"/>
      <c r="F235" s="594"/>
      <c r="G235" s="850" t="s">
        <v>104</v>
      </c>
      <c r="H235" s="850" t="s">
        <v>104</v>
      </c>
      <c r="I235" s="594"/>
      <c r="J235" s="594"/>
      <c r="K235" s="594"/>
    </row>
    <row r="236" spans="1:11">
      <c r="A236" s="850" t="s">
        <v>104</v>
      </c>
      <c r="B236" s="850" t="s">
        <v>268</v>
      </c>
      <c r="C236" s="594"/>
      <c r="D236" s="850" t="s">
        <v>531</v>
      </c>
      <c r="E236" s="594"/>
      <c r="F236" s="594"/>
      <c r="G236" s="594"/>
      <c r="H236" s="594"/>
      <c r="I236" s="594"/>
      <c r="J236" s="594"/>
      <c r="K236" s="594"/>
    </row>
    <row r="237" spans="1:11">
      <c r="B237" s="850" t="s">
        <v>532</v>
      </c>
      <c r="C237" s="594"/>
      <c r="D237" s="850" t="s">
        <v>533</v>
      </c>
      <c r="E237" s="594"/>
      <c r="F237" s="594"/>
      <c r="G237" s="594"/>
      <c r="H237" s="594"/>
      <c r="I237" s="594"/>
      <c r="J237" s="594"/>
      <c r="K237" s="594"/>
    </row>
    <row r="238" spans="1:11">
      <c r="A238" s="850">
        <v>13</v>
      </c>
      <c r="B238" s="850" t="s">
        <v>534</v>
      </c>
      <c r="C238" s="594"/>
      <c r="D238" s="594"/>
      <c r="E238" s="594"/>
      <c r="F238" s="594"/>
      <c r="G238" s="594"/>
      <c r="H238" s="594"/>
      <c r="I238" s="594"/>
      <c r="J238" s="594"/>
      <c r="K238" s="594"/>
    </row>
    <row r="239" spans="1:11">
      <c r="A239" s="850">
        <v>14</v>
      </c>
      <c r="B239" s="853" t="s">
        <v>535</v>
      </c>
      <c r="C239" s="854"/>
      <c r="D239" s="853" t="s">
        <v>536</v>
      </c>
      <c r="E239" s="854"/>
      <c r="F239" s="853" t="s">
        <v>537</v>
      </c>
      <c r="G239" s="854"/>
      <c r="H239" s="853" t="s">
        <v>104</v>
      </c>
      <c r="I239" s="594"/>
      <c r="J239" s="594"/>
      <c r="K239" s="594"/>
    </row>
    <row r="240" spans="1:11">
      <c r="A240" s="850">
        <v>15</v>
      </c>
      <c r="B240" s="853" t="s">
        <v>548</v>
      </c>
      <c r="C240" s="854"/>
      <c r="D240" s="854"/>
      <c r="E240" s="854"/>
      <c r="F240" s="854"/>
      <c r="G240" s="854"/>
      <c r="H240" s="854"/>
      <c r="I240" s="594"/>
      <c r="J240" s="594"/>
      <c r="K240" s="594"/>
    </row>
    <row r="241" spans="1:11">
      <c r="A241" s="850"/>
      <c r="B241" s="853" t="s">
        <v>549</v>
      </c>
      <c r="C241" s="854"/>
      <c r="D241" s="854"/>
      <c r="E241" s="854"/>
      <c r="F241" s="854"/>
      <c r="G241" s="854"/>
      <c r="H241" s="854"/>
      <c r="I241" s="594"/>
      <c r="J241" s="594"/>
      <c r="K241" s="594"/>
    </row>
    <row r="242" spans="1:11">
      <c r="A242" s="850" t="s">
        <v>538</v>
      </c>
      <c r="B242" s="594"/>
      <c r="D242" s="594"/>
      <c r="E242" s="594"/>
      <c r="F242" s="594"/>
      <c r="G242" s="594"/>
      <c r="H242" s="594"/>
      <c r="I242" s="594"/>
      <c r="J242" s="594"/>
      <c r="K242" s="594"/>
    </row>
    <row r="243" spans="1:11">
      <c r="A243" s="850" t="s">
        <v>540</v>
      </c>
      <c r="B243" s="850" t="s">
        <v>539</v>
      </c>
      <c r="C243" s="594"/>
      <c r="D243" s="594"/>
      <c r="E243" s="594"/>
      <c r="F243" s="594"/>
      <c r="G243" s="594"/>
      <c r="H243" s="594"/>
      <c r="I243" s="594"/>
      <c r="J243" s="594"/>
      <c r="K243" s="594"/>
    </row>
    <row r="244" spans="1:11">
      <c r="A244" s="850"/>
      <c r="B244" s="594"/>
      <c r="C244" s="594"/>
      <c r="D244" s="594"/>
      <c r="E244" s="594"/>
      <c r="F244" s="594"/>
      <c r="G244" s="594"/>
      <c r="H244" s="594"/>
      <c r="I244" s="594"/>
      <c r="J244" s="594"/>
      <c r="K244" s="594"/>
    </row>
    <row r="245" spans="1:11">
      <c r="A245" s="850"/>
      <c r="B245" s="594"/>
      <c r="C245" s="594"/>
      <c r="D245" s="594"/>
      <c r="E245" s="594"/>
      <c r="F245" s="594"/>
      <c r="G245" s="594"/>
      <c r="H245" s="594"/>
      <c r="I245" s="594"/>
      <c r="J245" s="594"/>
      <c r="K245" s="594"/>
    </row>
    <row r="246" spans="1:11">
      <c r="A246" s="850" t="s">
        <v>541</v>
      </c>
      <c r="B246" s="594"/>
      <c r="C246" s="594"/>
      <c r="D246" s="594"/>
      <c r="E246" s="594"/>
      <c r="F246" s="594"/>
      <c r="G246" s="594"/>
      <c r="H246" s="594"/>
      <c r="I246" s="594"/>
      <c r="J246" s="594"/>
      <c r="K246" s="594"/>
    </row>
    <row r="247" spans="1:11">
      <c r="A247" s="850" t="s">
        <v>542</v>
      </c>
      <c r="B247" s="594"/>
      <c r="C247" s="594"/>
      <c r="D247" s="594"/>
      <c r="E247" s="594"/>
      <c r="F247" s="594"/>
      <c r="G247" s="594"/>
      <c r="H247" s="594"/>
      <c r="I247" s="594"/>
      <c r="J247" s="594"/>
      <c r="K247" s="594"/>
    </row>
    <row r="248" spans="1:11">
      <c r="A248" s="850" t="s">
        <v>543</v>
      </c>
      <c r="B248" s="594"/>
      <c r="C248" s="594"/>
      <c r="D248" s="594"/>
      <c r="E248" s="594"/>
      <c r="F248" s="594"/>
      <c r="G248" s="594"/>
      <c r="H248" s="594"/>
      <c r="I248" s="594"/>
      <c r="J248" s="594"/>
      <c r="K248" s="594"/>
    </row>
    <row r="249" spans="1:11">
      <c r="A249" s="850" t="s">
        <v>544</v>
      </c>
      <c r="B249" s="594"/>
      <c r="C249" s="594"/>
      <c r="D249" s="594"/>
      <c r="E249" s="594"/>
      <c r="F249" s="594"/>
      <c r="G249" s="594"/>
      <c r="H249" s="594"/>
      <c r="I249" s="594"/>
      <c r="J249" s="594"/>
      <c r="K249" s="594"/>
    </row>
    <row r="250" spans="1:11">
      <c r="A250" s="850" t="s">
        <v>545</v>
      </c>
      <c r="B250" s="594"/>
      <c r="C250" s="594"/>
      <c r="D250" s="594"/>
      <c r="E250" s="594"/>
      <c r="F250" s="594"/>
      <c r="G250" s="594"/>
      <c r="H250" s="594"/>
      <c r="I250" s="594"/>
      <c r="J250" s="594"/>
      <c r="K250" s="594"/>
    </row>
    <row r="251" spans="1:11">
      <c r="A251" s="850" t="s">
        <v>546</v>
      </c>
      <c r="C251" s="850" t="s">
        <v>547</v>
      </c>
      <c r="D251" s="594"/>
      <c r="E251" s="594"/>
      <c r="F251" s="594"/>
      <c r="G251" s="594"/>
      <c r="H251" s="594"/>
      <c r="I251" s="594"/>
      <c r="J251" s="594"/>
      <c r="K251" s="594"/>
    </row>
    <row r="252" spans="1:11">
      <c r="A252" s="851"/>
      <c r="B252" s="594"/>
      <c r="C252" s="594"/>
      <c r="D252" s="594"/>
      <c r="E252" s="594"/>
      <c r="F252" s="594"/>
      <c r="G252" s="594"/>
      <c r="H252" s="594"/>
      <c r="I252" s="594"/>
      <c r="J252" s="594"/>
      <c r="K252" s="594"/>
    </row>
  </sheetData>
  <mergeCells count="51">
    <mergeCell ref="Y77:Y79"/>
    <mergeCell ref="M78:N78"/>
    <mergeCell ref="O78:P78"/>
    <mergeCell ref="Q78:R78"/>
    <mergeCell ref="S78:T78"/>
    <mergeCell ref="U78:V78"/>
    <mergeCell ref="W78:X78"/>
    <mergeCell ref="L77:L79"/>
    <mergeCell ref="M77:X77"/>
    <mergeCell ref="X68:X69"/>
    <mergeCell ref="M67:M69"/>
    <mergeCell ref="N67:W67"/>
    <mergeCell ref="N68:O68"/>
    <mergeCell ref="P68:Q68"/>
    <mergeCell ref="R68:S68"/>
    <mergeCell ref="T68:U68"/>
    <mergeCell ref="V68:W68"/>
    <mergeCell ref="K68:K69"/>
    <mergeCell ref="A78:A79"/>
    <mergeCell ref="B78:I78"/>
    <mergeCell ref="J78:J79"/>
    <mergeCell ref="B79:C79"/>
    <mergeCell ref="D79:E79"/>
    <mergeCell ref="F79:G79"/>
    <mergeCell ref="H79:I79"/>
    <mergeCell ref="J40:K40"/>
    <mergeCell ref="L40:M40"/>
    <mergeCell ref="N40:O40"/>
    <mergeCell ref="A67:A69"/>
    <mergeCell ref="C67:J67"/>
    <mergeCell ref="B68:B69"/>
    <mergeCell ref="C68:D68"/>
    <mergeCell ref="E68:F68"/>
    <mergeCell ref="G68:H68"/>
    <mergeCell ref="I68:J68"/>
    <mergeCell ref="A38:A41"/>
    <mergeCell ref="B38:O38"/>
    <mergeCell ref="B39:C39"/>
    <mergeCell ref="D39:G39"/>
    <mergeCell ref="H39:K39"/>
    <mergeCell ref="L39:O39"/>
    <mergeCell ref="F17:H20"/>
    <mergeCell ref="C28:G28"/>
    <mergeCell ref="C25:G25"/>
    <mergeCell ref="C27:G27"/>
    <mergeCell ref="B40:C40"/>
    <mergeCell ref="D40:E40"/>
    <mergeCell ref="F40:G40"/>
    <mergeCell ref="C31:G33"/>
    <mergeCell ref="C26:G26"/>
    <mergeCell ref="H40:I40"/>
  </mergeCells>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90"/>
  </sheetPr>
  <dimension ref="A1:H34"/>
  <sheetViews>
    <sheetView workbookViewId="0"/>
  </sheetViews>
  <sheetFormatPr defaultColWidth="10.85546875" defaultRowHeight="15"/>
  <cols>
    <col min="1" max="1" width="9.85546875" style="591" customWidth="1"/>
    <col min="2" max="2" width="11.140625" style="392" customWidth="1"/>
    <col min="3" max="4" width="19" style="392" customWidth="1"/>
    <col min="5" max="6" width="12.28515625" style="392" customWidth="1"/>
    <col min="7" max="7" width="56" style="392" customWidth="1"/>
    <col min="8" max="8" width="30.28515625" style="392" customWidth="1"/>
    <col min="9" max="16384" width="10.85546875" style="392"/>
  </cols>
  <sheetData>
    <row r="1" spans="1:8" ht="24.75">
      <c r="A1" s="1263" t="s">
        <v>748</v>
      </c>
      <c r="B1" s="1264"/>
      <c r="C1" s="1265"/>
      <c r="D1" s="723"/>
      <c r="E1" s="1242"/>
      <c r="F1" s="1242"/>
    </row>
    <row r="2" spans="1:8">
      <c r="A2" s="392"/>
      <c r="E2" s="1242"/>
      <c r="F2" s="1242"/>
    </row>
    <row r="3" spans="1:8" ht="45.75" thickBot="1">
      <c r="A3" s="410" t="s">
        <v>1166</v>
      </c>
      <c r="B3" s="410" t="s">
        <v>884</v>
      </c>
      <c r="C3" s="410" t="s">
        <v>885</v>
      </c>
      <c r="D3" s="410"/>
      <c r="E3" s="1147"/>
      <c r="F3" s="1147"/>
      <c r="G3" s="410" t="s">
        <v>1692</v>
      </c>
    </row>
    <row r="4" spans="1:8" ht="30.75" thickBot="1">
      <c r="A4" s="1348" t="s">
        <v>1693</v>
      </c>
      <c r="B4" s="1349"/>
      <c r="C4" s="1349"/>
      <c r="D4" s="1349"/>
      <c r="E4" s="1350"/>
      <c r="F4" s="1351">
        <f>+GDP!B20</f>
        <v>44773007.556822777</v>
      </c>
      <c r="G4" s="1352" t="s">
        <v>1643</v>
      </c>
    </row>
    <row r="5" spans="1:8" s="1233" customFormat="1" ht="15.75" thickBot="1">
      <c r="A5" s="1404"/>
      <c r="B5" s="1400"/>
      <c r="C5" s="1377"/>
      <c r="D5" s="1377"/>
      <c r="E5" s="1405"/>
      <c r="F5" s="1405"/>
      <c r="G5" s="1359"/>
    </row>
    <row r="6" spans="1:8" s="1233" customFormat="1">
      <c r="A6" s="1353" t="s">
        <v>1635</v>
      </c>
      <c r="B6" s="1354"/>
      <c r="C6" s="1355"/>
      <c r="D6" s="1355"/>
      <c r="E6" s="1356"/>
      <c r="F6" s="1356"/>
      <c r="G6" s="1629" t="s">
        <v>1691</v>
      </c>
    </row>
    <row r="7" spans="1:8">
      <c r="A7" s="1360" t="s">
        <v>1273</v>
      </c>
      <c r="B7" s="1361" t="s">
        <v>1177</v>
      </c>
      <c r="C7" s="1362" t="s">
        <v>1168</v>
      </c>
      <c r="D7" s="1363"/>
      <c r="E7" s="1364"/>
      <c r="F7" s="1365">
        <f>+'Forest businesses'!D12/1000</f>
        <v>5845.5921875000004</v>
      </c>
      <c r="G7" s="1630"/>
      <c r="H7" s="1254"/>
    </row>
    <row r="8" spans="1:8" s="1233" customFormat="1" ht="57.95" customHeight="1">
      <c r="A8" s="1360">
        <v>12</v>
      </c>
      <c r="B8" s="1361" t="s">
        <v>972</v>
      </c>
      <c r="C8" s="1362" t="s">
        <v>1169</v>
      </c>
      <c r="D8" s="1623" t="s">
        <v>1631</v>
      </c>
      <c r="E8" s="1623"/>
      <c r="F8" s="1365">
        <f>+'Forest businesses'!E13/1000</f>
        <v>37222.748171081548</v>
      </c>
      <c r="G8" s="1630"/>
      <c r="H8" s="1254"/>
    </row>
    <row r="9" spans="1:8" s="482" customFormat="1">
      <c r="A9" s="1366" t="s">
        <v>1274</v>
      </c>
      <c r="B9" s="1358" t="s">
        <v>1188</v>
      </c>
      <c r="C9" s="1362" t="s">
        <v>1170</v>
      </c>
      <c r="D9" s="1363"/>
      <c r="E9" s="1364"/>
      <c r="F9" s="1365">
        <f>+'Forest businesses'!D14/1000</f>
        <v>189084.47248535155</v>
      </c>
      <c r="G9" s="1630"/>
    </row>
    <row r="10" spans="1:8" ht="18" customHeight="1">
      <c r="A10" s="1366" t="s">
        <v>983</v>
      </c>
      <c r="B10" s="1358" t="s">
        <v>1179</v>
      </c>
      <c r="C10" s="1362" t="s">
        <v>1191</v>
      </c>
      <c r="D10" s="1363"/>
      <c r="E10" s="1364"/>
      <c r="F10" s="1365">
        <f>+'Forest businesses'!D15/1000</f>
        <v>988.98775177001937</v>
      </c>
      <c r="G10" s="1630"/>
    </row>
    <row r="11" spans="1:8" s="482" customFormat="1" ht="30">
      <c r="A11" s="1366" t="s">
        <v>1276</v>
      </c>
      <c r="B11" s="1358" t="s">
        <v>1180</v>
      </c>
      <c r="C11" s="1362" t="s">
        <v>1193</v>
      </c>
      <c r="D11" s="1363"/>
      <c r="E11" s="1364"/>
      <c r="F11" s="1365">
        <f>+'Forest businesses'!D16/1000</f>
        <v>675116.44747924805</v>
      </c>
      <c r="G11" s="1630"/>
    </row>
    <row r="12" spans="1:8" s="482" customFormat="1">
      <c r="A12" s="1366" t="s">
        <v>1277</v>
      </c>
      <c r="B12" s="1358" t="s">
        <v>1189</v>
      </c>
      <c r="C12" s="1362" t="str">
        <f>+'Forest businesses'!A17</f>
        <v>Wood-based manufacturing, sawmills, furniture</v>
      </c>
      <c r="D12" s="1363"/>
      <c r="E12" s="1364"/>
      <c r="F12" s="1365">
        <f>+'Forest businesses'!D17/1000</f>
        <v>5594290.0237882249</v>
      </c>
      <c r="G12" s="1630"/>
    </row>
    <row r="13" spans="1:8" s="482" customFormat="1">
      <c r="A13" s="1366" t="s">
        <v>1275</v>
      </c>
      <c r="B13" s="1361" t="s">
        <v>1183</v>
      </c>
      <c r="C13" s="1362" t="str">
        <f>+'Forest businesses'!A18</f>
        <v>Bricks, cement, concrete</v>
      </c>
      <c r="D13" s="1363"/>
      <c r="E13" s="1364"/>
      <c r="F13" s="1365">
        <f>+'Forest businesses'!D18/1000</f>
        <v>49878.275894165039</v>
      </c>
      <c r="G13" s="1630"/>
    </row>
    <row r="14" spans="1:8" s="482" customFormat="1" ht="16.5" customHeight="1">
      <c r="A14" s="1366" t="s">
        <v>1278</v>
      </c>
      <c r="B14" s="1358" t="s">
        <v>1190</v>
      </c>
      <c r="C14" s="1362" t="str">
        <f>+'Forest businesses'!A19</f>
        <v>Metal products and hand tools (a)</v>
      </c>
      <c r="D14" s="1363"/>
      <c r="E14" s="1364"/>
      <c r="F14" s="1365">
        <f>+'Forest businesses'!D19/1000</f>
        <v>13418.453979492189</v>
      </c>
      <c r="G14" s="1630"/>
    </row>
    <row r="15" spans="1:8">
      <c r="A15" s="1366" t="s">
        <v>1279</v>
      </c>
      <c r="B15" s="1361" t="s">
        <v>1185</v>
      </c>
      <c r="C15" s="1362" t="s">
        <v>1174</v>
      </c>
      <c r="D15" s="1363"/>
      <c r="E15" s="1365"/>
      <c r="F15" s="1365">
        <f>+'Forest businesses'!D20/1000</f>
        <v>17006488.970214859</v>
      </c>
      <c r="G15" s="1630"/>
    </row>
    <row r="16" spans="1:8" s="482" customFormat="1">
      <c r="A16" s="1425" t="s">
        <v>1280</v>
      </c>
      <c r="B16" s="1426" t="s">
        <v>1186</v>
      </c>
      <c r="C16" s="1427" t="str">
        <f>+'Forest businesses'!A21</f>
        <v>Restaurants and hotels</v>
      </c>
      <c r="D16" s="1428"/>
      <c r="E16" s="1429"/>
      <c r="F16" s="1429">
        <f>+'Forest businesses'!D21/1000</f>
        <v>550.98856544494629</v>
      </c>
      <c r="G16" s="1630"/>
    </row>
    <row r="17" spans="1:7" ht="30">
      <c r="A17" s="1383" t="s">
        <v>1187</v>
      </c>
      <c r="B17" s="1383" t="s">
        <v>1192</v>
      </c>
      <c r="C17" s="1384" t="str">
        <f>+'Forest businesses'!A22</f>
        <v>Education, medicine, professional services, etc.</v>
      </c>
      <c r="D17" s="1385"/>
      <c r="E17" s="1387"/>
      <c r="F17" s="1430">
        <f>+'Forest businesses'!D22/1000</f>
        <v>413422.88036193856</v>
      </c>
      <c r="G17" s="1630"/>
    </row>
    <row r="18" spans="1:7" s="1233" customFormat="1" ht="15.75" thickBot="1">
      <c r="A18" s="1406" t="s">
        <v>1654</v>
      </c>
      <c r="B18" s="1372"/>
      <c r="C18" s="1373"/>
      <c r="D18" s="1374"/>
      <c r="E18" s="1375"/>
      <c r="F18" s="1376">
        <f>+SUM(F7:F17)</f>
        <v>23986307.840879075</v>
      </c>
      <c r="G18" s="1631"/>
    </row>
    <row r="19" spans="1:7" s="1233" customFormat="1">
      <c r="A19" s="1378" t="s">
        <v>1636</v>
      </c>
      <c r="B19" s="1379"/>
      <c r="C19" s="1380"/>
      <c r="D19" s="1380"/>
      <c r="E19" s="1381"/>
      <c r="F19" s="1381"/>
      <c r="G19" s="1357"/>
    </row>
    <row r="20" spans="1:7" s="1233" customFormat="1" ht="27.95" customHeight="1">
      <c r="A20" s="1382" t="s">
        <v>1277</v>
      </c>
      <c r="B20" s="1383" t="s">
        <v>981</v>
      </c>
      <c r="C20" s="1384" t="s">
        <v>838</v>
      </c>
      <c r="D20" s="1385"/>
      <c r="E20" s="1386"/>
      <c r="F20" s="1387">
        <f>+'Annual economic survey'!C62</f>
        <v>977049</v>
      </c>
      <c r="G20" s="1624" t="s">
        <v>982</v>
      </c>
    </row>
    <row r="21" spans="1:7" s="1233" customFormat="1" ht="27.95" customHeight="1" thickBot="1">
      <c r="A21" s="1367" t="s">
        <v>1277</v>
      </c>
      <c r="B21" s="1368" t="s">
        <v>983</v>
      </c>
      <c r="C21" s="1369" t="s">
        <v>840</v>
      </c>
      <c r="D21" s="1370"/>
      <c r="E21" s="1388"/>
      <c r="F21" s="1371">
        <f>+'Annual economic survey'!E62</f>
        <v>227266</v>
      </c>
      <c r="G21" s="1625"/>
    </row>
    <row r="22" spans="1:7" s="1233" customFormat="1" ht="17.100000000000001" customHeight="1" thickBot="1">
      <c r="A22" s="1389" t="s">
        <v>1655</v>
      </c>
      <c r="B22" s="1390"/>
      <c r="C22" s="1391"/>
      <c r="D22" s="1349"/>
      <c r="E22" s="1350"/>
      <c r="F22" s="1392">
        <f>+F21+F20</f>
        <v>1204315</v>
      </c>
      <c r="G22" s="1393"/>
    </row>
    <row r="23" spans="1:7" s="1233" customFormat="1" ht="15.75" thickBot="1">
      <c r="A23" s="1407"/>
      <c r="B23" s="1402"/>
      <c r="C23" s="1349"/>
      <c r="D23" s="1349"/>
      <c r="E23" s="1392"/>
      <c r="F23" s="1392"/>
      <c r="G23" s="1403"/>
    </row>
    <row r="24" spans="1:7" s="1233" customFormat="1" ht="12.95" customHeight="1">
      <c r="A24" s="1378" t="s">
        <v>1637</v>
      </c>
      <c r="B24" s="1379"/>
      <c r="C24" s="1380"/>
      <c r="D24" s="1380"/>
      <c r="E24" s="1381"/>
      <c r="F24" s="1381"/>
      <c r="G24" s="1626" t="s">
        <v>1361</v>
      </c>
    </row>
    <row r="25" spans="1:7" s="1233" customFormat="1" ht="84" customHeight="1">
      <c r="A25" s="1394"/>
      <c r="B25" s="1372" t="s">
        <v>988</v>
      </c>
      <c r="C25" s="1374" t="s">
        <v>989</v>
      </c>
      <c r="D25" s="1374" t="s">
        <v>990</v>
      </c>
      <c r="E25" s="1375">
        <f>+Livelihoods!D68/1000</f>
        <v>1034701.116</v>
      </c>
      <c r="F25" s="1375"/>
      <c r="G25" s="1627"/>
    </row>
    <row r="26" spans="1:7" s="1233" customFormat="1" ht="45">
      <c r="A26" s="1394"/>
      <c r="B26" s="1377"/>
      <c r="C26" s="1373"/>
      <c r="D26" s="1374" t="s">
        <v>1023</v>
      </c>
      <c r="E26" s="1375">
        <f>+'DoF Personnel &amp; OC'!F62/1000</f>
        <v>101605.226</v>
      </c>
      <c r="F26" s="1375"/>
      <c r="G26" s="1627"/>
    </row>
    <row r="27" spans="1:7" s="1233" customFormat="1" ht="45">
      <c r="A27" s="1394"/>
      <c r="B27" s="1377"/>
      <c r="C27" s="1373"/>
      <c r="D27" s="1374" t="s">
        <v>1315</v>
      </c>
      <c r="E27" s="1375">
        <f>-GDP!B6-GDP!B9</f>
        <v>-332128.24180999998</v>
      </c>
      <c r="F27" s="1375"/>
      <c r="G27" s="1627"/>
    </row>
    <row r="28" spans="1:7" s="1233" customFormat="1" ht="30.75" thickBot="1">
      <c r="A28" s="1395"/>
      <c r="B28" s="1396"/>
      <c r="C28" s="1397"/>
      <c r="D28" s="1398" t="s">
        <v>1025</v>
      </c>
      <c r="E28" s="1399"/>
      <c r="F28" s="1399">
        <f>+SUM(E25:E27)</f>
        <v>804178.10018999991</v>
      </c>
      <c r="G28" s="1628"/>
    </row>
    <row r="29" spans="1:7" s="1233" customFormat="1">
      <c r="A29" s="1394"/>
      <c r="B29" s="1377"/>
      <c r="C29" s="1374"/>
      <c r="D29" s="1374"/>
      <c r="E29" s="1375"/>
      <c r="F29" s="1375"/>
      <c r="G29" s="1359"/>
    </row>
    <row r="30" spans="1:7" ht="45">
      <c r="A30" s="1416" t="s">
        <v>1316</v>
      </c>
      <c r="B30" s="1417"/>
      <c r="C30" s="1417"/>
      <c r="D30" s="1417"/>
      <c r="E30" s="1418"/>
      <c r="F30" s="1419">
        <f>+('DoF Revenue summary'!B26-'DoF Revenue summary'!B8-'DoF Revenue summary'!B11-'DoF Revenue summary'!B18-'DoF Revenue summary'!B16)/1000</f>
        <v>40662.852459999995</v>
      </c>
      <c r="G30" s="1420" t="s">
        <v>1645</v>
      </c>
    </row>
    <row r="31" spans="1:7">
      <c r="A31" s="1404" t="s">
        <v>1314</v>
      </c>
      <c r="B31" s="1410"/>
      <c r="C31" s="1408"/>
      <c r="D31" s="1408"/>
      <c r="E31" s="1411"/>
      <c r="F31" s="1409">
        <f>+'Protected Area Visitors'!H22/1000</f>
        <v>45572.20976663597</v>
      </c>
      <c r="G31" s="1359"/>
    </row>
    <row r="32" spans="1:7">
      <c r="A32" s="1421" t="s">
        <v>1360</v>
      </c>
      <c r="B32" s="1422"/>
      <c r="C32" s="1417"/>
      <c r="D32" s="1417"/>
      <c r="E32" s="1423"/>
      <c r="F32" s="1418">
        <f>+'Tourism Data'!B33/1000</f>
        <v>1976979.2956069249</v>
      </c>
      <c r="G32" s="1424"/>
    </row>
    <row r="33" spans="1:7" ht="75.75" thickBot="1">
      <c r="A33" s="1412" t="s">
        <v>1629</v>
      </c>
      <c r="B33" s="1413"/>
      <c r="C33" s="1413"/>
      <c r="D33" s="1413"/>
      <c r="E33" s="1413"/>
      <c r="F33" s="1414">
        <f>+'Watershed costs'!B9/1000</f>
        <v>484680</v>
      </c>
      <c r="G33" s="1415" t="s">
        <v>1644</v>
      </c>
    </row>
    <row r="34" spans="1:7" ht="15.75" thickBot="1">
      <c r="A34" s="1401" t="s">
        <v>748</v>
      </c>
      <c r="B34" s="1402"/>
      <c r="C34" s="1349"/>
      <c r="D34" s="1349"/>
      <c r="E34" s="1350"/>
      <c r="F34" s="1351">
        <f>+SUM(F30:F33)+F28+F22+F18+F4</f>
        <v>73315702.855725408</v>
      </c>
      <c r="G34" s="1403"/>
    </row>
  </sheetData>
  <mergeCells count="4">
    <mergeCell ref="D8:E8"/>
    <mergeCell ref="G20:G21"/>
    <mergeCell ref="G24:G28"/>
    <mergeCell ref="G6:G18"/>
  </mergeCells>
  <pageMargins left="0.75" right="0.75" top="1" bottom="1" header="0.5" footer="0.5"/>
  <ignoredErrors>
    <ignoredError sqref="B13 A16 A15:B15 A12:A14 A7 A9:B11 B7 B17 A20:B21" numberStoredAsText="1"/>
  </ignoredErrors>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45BA33"/>
  </sheetPr>
  <dimension ref="A1:P49"/>
  <sheetViews>
    <sheetView workbookViewId="0"/>
  </sheetViews>
  <sheetFormatPr defaultColWidth="11.42578125" defaultRowHeight="12.75"/>
  <cols>
    <col min="1" max="1" width="33.42578125" style="742" customWidth="1"/>
    <col min="2" max="2" width="14" style="742" bestFit="1" customWidth="1"/>
    <col min="3" max="3" width="17.42578125" style="742" customWidth="1"/>
    <col min="4" max="4" width="12.42578125" style="742" customWidth="1"/>
    <col min="5" max="5" width="16" style="742" bestFit="1" customWidth="1"/>
    <col min="6" max="6" width="14" style="742" bestFit="1" customWidth="1"/>
    <col min="7" max="8" width="11.42578125" style="742"/>
    <col min="9" max="9" width="17" style="742" customWidth="1"/>
    <col min="10" max="10" width="24.7109375" style="742" customWidth="1"/>
    <col min="11" max="11" width="16" style="742" customWidth="1"/>
    <col min="12" max="12" width="14.85546875" style="742" customWidth="1"/>
    <col min="13" max="13" width="12.42578125" style="742" customWidth="1"/>
    <col min="14" max="14" width="13.140625" style="742" customWidth="1"/>
    <col min="15" max="16384" width="11.42578125" style="742"/>
  </cols>
  <sheetData>
    <row r="1" spans="1:12" ht="24.75">
      <c r="A1" s="1320" t="s">
        <v>1327</v>
      </c>
      <c r="B1" s="1321"/>
    </row>
    <row r="2" spans="1:12" ht="21" thickBot="1">
      <c r="A2" s="888"/>
      <c r="B2" s="889"/>
    </row>
    <row r="3" spans="1:12" ht="15.75" customHeight="1" thickBot="1">
      <c r="A3" s="890" t="s">
        <v>1299</v>
      </c>
      <c r="B3" s="1817" t="s">
        <v>1292</v>
      </c>
      <c r="C3" s="1818"/>
      <c r="D3" s="1817" t="s">
        <v>1298</v>
      </c>
      <c r="E3" s="1818"/>
    </row>
    <row r="4" spans="1:12">
      <c r="A4" s="895" t="s">
        <v>1294</v>
      </c>
      <c r="B4" s="891">
        <v>1</v>
      </c>
      <c r="C4" s="892">
        <f>+B4*xr_2010</f>
        <v>150.38964317217463</v>
      </c>
      <c r="D4" s="893">
        <v>450</v>
      </c>
      <c r="E4" s="892">
        <v>450</v>
      </c>
    </row>
    <row r="5" spans="1:12">
      <c r="A5" s="861" t="s">
        <v>1295</v>
      </c>
      <c r="B5" s="891">
        <v>3</v>
      </c>
      <c r="C5" s="892">
        <f>+B5*xr_2010</f>
        <v>451.16892951652392</v>
      </c>
      <c r="D5" s="891">
        <v>7</v>
      </c>
      <c r="E5" s="894">
        <f>+D5*xr_2012</f>
        <v>1670.9849439876948</v>
      </c>
    </row>
    <row r="6" spans="1:12">
      <c r="A6" s="861" t="s">
        <v>1296</v>
      </c>
      <c r="B6" s="891">
        <v>5</v>
      </c>
      <c r="C6" s="892">
        <f>+B6*xr_2010</f>
        <v>751.94821586087312</v>
      </c>
      <c r="D6" s="891">
        <v>10</v>
      </c>
      <c r="E6" s="894">
        <f>+D6*xr_2012</f>
        <v>2387.1213485538497</v>
      </c>
    </row>
    <row r="7" spans="1:12" ht="15.75" customHeight="1" thickBot="1">
      <c r="A7" s="863" t="s">
        <v>1297</v>
      </c>
      <c r="B7" s="1819" t="s">
        <v>1293</v>
      </c>
      <c r="C7" s="1820"/>
      <c r="D7" s="1819" t="s">
        <v>1293</v>
      </c>
      <c r="E7" s="1820"/>
    </row>
    <row r="9" spans="1:12" ht="13.5" thickBot="1"/>
    <row r="10" spans="1:12" ht="39" thickBot="1">
      <c r="A10" s="860" t="s">
        <v>1348</v>
      </c>
      <c r="B10" s="1059" t="s">
        <v>1092</v>
      </c>
      <c r="C10" s="1060" t="s">
        <v>99</v>
      </c>
      <c r="D10" s="1061" t="s">
        <v>1303</v>
      </c>
      <c r="E10" s="1060" t="s">
        <v>1301</v>
      </c>
      <c r="F10" s="1061" t="s">
        <v>1330</v>
      </c>
      <c r="G10" s="1061" t="s">
        <v>1345</v>
      </c>
      <c r="H10" s="1062" t="s">
        <v>33</v>
      </c>
      <c r="J10" s="1058" t="s">
        <v>1332</v>
      </c>
    </row>
    <row r="11" spans="1:12">
      <c r="A11" s="861" t="s">
        <v>1300</v>
      </c>
      <c r="B11" s="855">
        <f>+('Liwonde NP'!J34+'Liwonde NP'!J33)/2</f>
        <v>8169</v>
      </c>
      <c r="C11" s="855">
        <f>+'Lake Malawi'!D5+'Lake Malawi'!D6</f>
        <v>3323</v>
      </c>
      <c r="D11" s="855">
        <f>+Lengwe!O4/(E6)</f>
        <v>815.41467557952683</v>
      </c>
      <c r="E11" s="855">
        <f>+Nyika!N6</f>
        <v>1584</v>
      </c>
      <c r="F11" s="1057">
        <f>389+60</f>
        <v>449</v>
      </c>
      <c r="G11" s="742">
        <v>941</v>
      </c>
      <c r="H11" s="856">
        <f>+SUM(B11:G11)</f>
        <v>15281.414675579526</v>
      </c>
      <c r="K11" s="1057" t="s">
        <v>1424</v>
      </c>
      <c r="L11" s="1057" t="s">
        <v>1425</v>
      </c>
    </row>
    <row r="12" spans="1:12">
      <c r="A12" s="861" t="s">
        <v>1349</v>
      </c>
      <c r="B12" s="855">
        <f>+'Liwonde NP'!B39</f>
        <v>7857356.1899999995</v>
      </c>
      <c r="C12" s="855">
        <f>+'Lake Malawi'!B22+'Lake Malawi'!C22</f>
        <v>3529947.9774164106</v>
      </c>
      <c r="D12" s="855">
        <f>+Lengwe!O4</f>
        <v>1946493.78</v>
      </c>
      <c r="E12" s="855">
        <f>+Nyika!N15</f>
        <v>1626549</v>
      </c>
      <c r="F12" s="742">
        <f>+K15+L15</f>
        <v>288946.62921956257</v>
      </c>
      <c r="G12" s="742">
        <v>49800</v>
      </c>
      <c r="H12" s="856">
        <f>+SUM(B12:G12)</f>
        <v>15299093.576635972</v>
      </c>
      <c r="J12" s="742" t="s">
        <v>1331</v>
      </c>
      <c r="K12" s="756">
        <v>0.66</v>
      </c>
      <c r="L12" s="742">
        <v>6</v>
      </c>
    </row>
    <row r="13" spans="1:12">
      <c r="A13" s="861" t="s">
        <v>1304</v>
      </c>
      <c r="B13" s="855">
        <f>+SUM('Liwonde NP'!H7:I9)/2</f>
        <v>5880.5</v>
      </c>
      <c r="C13" s="855">
        <f>+SUM('Lake Malawi'!D7:D9)</f>
        <v>2991</v>
      </c>
      <c r="D13" s="857" t="s">
        <v>1305</v>
      </c>
      <c r="E13" s="857" t="s">
        <v>1305</v>
      </c>
      <c r="F13" s="857" t="s">
        <v>1305</v>
      </c>
      <c r="H13" s="858" t="s">
        <v>1306</v>
      </c>
      <c r="J13" s="742" t="s">
        <v>1333</v>
      </c>
      <c r="K13" s="756">
        <f>1-K12</f>
        <v>0.33999999999999997</v>
      </c>
      <c r="L13" s="742">
        <v>49</v>
      </c>
    </row>
    <row r="14" spans="1:12">
      <c r="A14" s="861" t="s">
        <v>1309</v>
      </c>
      <c r="B14" s="859">
        <f>+'Liwonde NP'!H24</f>
        <v>0.74097196719304692</v>
      </c>
      <c r="C14" s="855"/>
      <c r="D14" s="857"/>
      <c r="E14" s="857"/>
      <c r="H14" s="858"/>
      <c r="J14" s="1057" t="s">
        <v>1426</v>
      </c>
      <c r="L14" s="742">
        <v>6</v>
      </c>
    </row>
    <row r="15" spans="1:12" ht="38.25">
      <c r="A15" s="1064" t="s">
        <v>1428</v>
      </c>
      <c r="B15" s="855">
        <f>+$B14*B11</f>
        <v>6053</v>
      </c>
      <c r="C15" s="855">
        <f>+$B14*C11</f>
        <v>2462.249846982495</v>
      </c>
      <c r="D15" s="855">
        <f>+$B14*D11</f>
        <v>604.19941624224214</v>
      </c>
      <c r="E15" s="855">
        <f>+$B14*E11</f>
        <v>1173.6995960337863</v>
      </c>
      <c r="F15" s="742">
        <f>+K17</f>
        <v>201.66</v>
      </c>
      <c r="H15" s="856">
        <f>+$B14*H11</f>
        <v>11323.099893656859</v>
      </c>
      <c r="J15" s="742" t="s">
        <v>1334</v>
      </c>
      <c r="K15" s="742">
        <f>+K12*F11*C5+K13*F11*C6</f>
        <v>248491.81520624761</v>
      </c>
      <c r="L15" s="742">
        <f>+L12*C5+L13*C6+L14*C4</f>
        <v>40454.814013314979</v>
      </c>
    </row>
    <row r="16" spans="1:12">
      <c r="A16" s="862" t="s">
        <v>1317</v>
      </c>
      <c r="B16" s="855">
        <f>+'Liwonde NP'!C39</f>
        <v>24581718.740000002</v>
      </c>
      <c r="C16" s="855">
        <f>+('Lake Malawi'!D17+'Lake Malawi'!D18)/2</f>
        <v>1373602.5</v>
      </c>
      <c r="D16" s="855">
        <f>+Lengwe!O5</f>
        <v>1124084.95</v>
      </c>
      <c r="E16" s="855"/>
      <c r="H16" s="856">
        <f t="shared" ref="H16:H21" si="0">+SUM(B16:G16)</f>
        <v>27079406.190000001</v>
      </c>
    </row>
    <row r="17" spans="1:16">
      <c r="A17" s="862" t="s">
        <v>1318</v>
      </c>
      <c r="B17" s="855">
        <f>+'Liwonde NP'!D39</f>
        <v>93000</v>
      </c>
      <c r="C17" s="855"/>
      <c r="D17" s="855"/>
      <c r="E17" s="855"/>
      <c r="H17" s="856">
        <f t="shared" si="0"/>
        <v>93000</v>
      </c>
      <c r="J17" s="1057" t="s">
        <v>1427</v>
      </c>
      <c r="K17" s="1063">
        <f>+K13*F11+L13</f>
        <v>201.66</v>
      </c>
    </row>
    <row r="18" spans="1:16">
      <c r="A18" s="862" t="s">
        <v>1319</v>
      </c>
      <c r="B18" s="855">
        <f>+'Liwonde NP'!E39</f>
        <v>335950</v>
      </c>
      <c r="C18" s="855">
        <f>+('Lake Malawi'!E17+'Lake Malawi'!E18)/2</f>
        <v>508500</v>
      </c>
      <c r="D18" s="855">
        <f>+Lengwe!O6</f>
        <v>618300</v>
      </c>
      <c r="E18" s="855"/>
      <c r="H18" s="856">
        <f t="shared" si="0"/>
        <v>1462750</v>
      </c>
    </row>
    <row r="19" spans="1:16">
      <c r="A19" s="862" t="s">
        <v>1320</v>
      </c>
      <c r="B19" s="855"/>
      <c r="C19" s="855">
        <f>+('Lake Malawi'!F17+'Lake Malawi'!F18)/2</f>
        <v>12610</v>
      </c>
      <c r="D19" s="855">
        <f>+Lengwe!O8</f>
        <v>43250</v>
      </c>
      <c r="E19" s="855"/>
      <c r="H19" s="856">
        <f t="shared" si="0"/>
        <v>55860</v>
      </c>
    </row>
    <row r="20" spans="1:16">
      <c r="A20" s="862" t="s">
        <v>1321</v>
      </c>
      <c r="B20" s="855"/>
      <c r="C20" s="855"/>
      <c r="D20" s="855">
        <f>+Lengwe!O7</f>
        <v>178000</v>
      </c>
      <c r="E20" s="855"/>
      <c r="H20" s="856">
        <f t="shared" si="0"/>
        <v>178000</v>
      </c>
    </row>
    <row r="21" spans="1:16" ht="13.5" thickBot="1">
      <c r="A21" s="861" t="s">
        <v>1322</v>
      </c>
      <c r="B21" s="855"/>
      <c r="C21" s="855"/>
      <c r="D21" s="855">
        <f>+Lengwe!O9</f>
        <v>7500</v>
      </c>
      <c r="E21" s="855"/>
      <c r="G21" s="742">
        <v>1396600</v>
      </c>
      <c r="H21" s="856">
        <f t="shared" si="0"/>
        <v>1404100</v>
      </c>
    </row>
    <row r="22" spans="1:16" ht="13.5" thickBot="1">
      <c r="A22" s="864" t="s">
        <v>33</v>
      </c>
      <c r="B22" s="890">
        <f t="shared" ref="B22:H22" si="1">+SUM(B16:B21)+B12</f>
        <v>32868024.93</v>
      </c>
      <c r="C22" s="865">
        <f t="shared" si="1"/>
        <v>5424660.477416411</v>
      </c>
      <c r="D22" s="865">
        <f t="shared" si="1"/>
        <v>3917628.73</v>
      </c>
      <c r="E22" s="865">
        <f t="shared" si="1"/>
        <v>1626549</v>
      </c>
      <c r="F22" s="865">
        <f t="shared" si="1"/>
        <v>288946.62921956257</v>
      </c>
      <c r="G22" s="865">
        <f t="shared" si="1"/>
        <v>1446400</v>
      </c>
      <c r="H22" s="866">
        <f t="shared" si="1"/>
        <v>45572209.766635969</v>
      </c>
    </row>
    <row r="23" spans="1:16">
      <c r="A23" s="1821" t="s">
        <v>1323</v>
      </c>
      <c r="B23" s="1822"/>
      <c r="C23" s="1822"/>
      <c r="D23" s="1822"/>
      <c r="E23" s="1822"/>
      <c r="F23" s="1822"/>
      <c r="G23" s="1822"/>
    </row>
    <row r="24" spans="1:16">
      <c r="A24" s="1823"/>
      <c r="B24" s="1824"/>
      <c r="C24" s="1824"/>
      <c r="D24" s="1824"/>
      <c r="E24" s="1824"/>
      <c r="F24" s="1824"/>
      <c r="G24" s="1824"/>
    </row>
    <row r="25" spans="1:16" ht="18" customHeight="1">
      <c r="A25" s="1815" t="s">
        <v>1423</v>
      </c>
      <c r="B25" s="1816"/>
      <c r="C25" s="1816"/>
      <c r="D25" s="1816"/>
      <c r="E25" s="1816"/>
      <c r="F25" s="1816"/>
      <c r="G25" s="1816"/>
    </row>
    <row r="26" spans="1:16">
      <c r="A26" s="919" t="s">
        <v>1347</v>
      </c>
      <c r="B26" s="918"/>
      <c r="C26" s="918"/>
      <c r="D26" s="918"/>
      <c r="E26" s="918"/>
      <c r="F26" s="918"/>
      <c r="G26" s="918"/>
      <c r="H26" s="918"/>
    </row>
    <row r="27" spans="1:16" ht="12.75" customHeight="1">
      <c r="A27" s="855" t="s">
        <v>1346</v>
      </c>
      <c r="B27" s="918"/>
      <c r="C27" s="918"/>
      <c r="D27" s="918"/>
      <c r="E27" s="918"/>
      <c r="F27" s="918"/>
      <c r="G27" s="918"/>
      <c r="H27" s="918"/>
    </row>
    <row r="28" spans="1:16">
      <c r="B28" s="744"/>
      <c r="C28" s="744"/>
      <c r="D28" s="743"/>
      <c r="E28" s="743"/>
      <c r="F28" s="743"/>
      <c r="G28" s="743"/>
      <c r="H28" s="743"/>
    </row>
    <row r="29" spans="1:16">
      <c r="A29" s="881"/>
      <c r="B29" s="855"/>
      <c r="C29" s="855"/>
      <c r="D29" s="855"/>
      <c r="E29" s="855"/>
      <c r="F29" s="744"/>
      <c r="G29" s="744"/>
      <c r="H29" s="744"/>
      <c r="I29" s="879"/>
      <c r="J29" s="879"/>
      <c r="K29" s="879"/>
      <c r="L29" s="879"/>
      <c r="M29" s="879"/>
      <c r="N29" s="880"/>
      <c r="O29" s="855"/>
      <c r="P29" s="855"/>
    </row>
    <row r="30" spans="1:16">
      <c r="A30" s="881"/>
      <c r="B30" s="855"/>
      <c r="C30" s="855"/>
      <c r="D30" s="855"/>
      <c r="E30" s="855"/>
      <c r="F30" s="744"/>
      <c r="G30" s="744"/>
      <c r="H30" s="744"/>
      <c r="I30" s="882"/>
      <c r="J30" s="855"/>
      <c r="K30" s="855"/>
      <c r="L30" s="855"/>
      <c r="M30" s="855"/>
      <c r="N30" s="744"/>
      <c r="O30" s="855"/>
      <c r="P30" s="855"/>
    </row>
    <row r="31" spans="1:16">
      <c r="A31" s="881"/>
      <c r="B31" s="855"/>
      <c r="C31" s="855"/>
      <c r="D31" s="855"/>
      <c r="E31" s="855"/>
      <c r="F31" s="744"/>
      <c r="G31" s="744"/>
      <c r="H31" s="744"/>
      <c r="I31" s="882"/>
      <c r="J31" s="855"/>
      <c r="K31" s="855"/>
      <c r="L31" s="855"/>
      <c r="M31" s="855"/>
      <c r="N31" s="744"/>
      <c r="O31" s="855"/>
      <c r="P31" s="855"/>
    </row>
    <row r="32" spans="1:16">
      <c r="A32" s="881"/>
      <c r="B32" s="855"/>
      <c r="C32" s="884"/>
      <c r="D32" s="855"/>
      <c r="E32" s="855"/>
      <c r="F32" s="744"/>
      <c r="G32" s="744"/>
      <c r="H32" s="744"/>
      <c r="I32" s="882"/>
      <c r="J32" s="883"/>
      <c r="K32" s="883"/>
      <c r="L32" s="883"/>
      <c r="M32" s="883"/>
      <c r="N32" s="880"/>
      <c r="O32" s="855"/>
      <c r="P32" s="855"/>
    </row>
    <row r="33" spans="1:16">
      <c r="A33" s="881"/>
      <c r="B33" s="855"/>
      <c r="C33" s="855"/>
      <c r="D33" s="855"/>
      <c r="E33" s="855"/>
      <c r="F33" s="744"/>
      <c r="G33" s="744"/>
      <c r="H33" s="744"/>
      <c r="I33" s="879"/>
      <c r="J33" s="883"/>
      <c r="K33" s="883"/>
      <c r="L33" s="883"/>
      <c r="M33" s="883"/>
      <c r="N33" s="880"/>
      <c r="O33" s="855"/>
      <c r="P33" s="855"/>
    </row>
    <row r="34" spans="1:16">
      <c r="A34" s="881"/>
      <c r="B34" s="855"/>
      <c r="C34" s="855"/>
      <c r="D34" s="855"/>
      <c r="E34" s="855"/>
      <c r="F34" s="744"/>
      <c r="G34" s="744"/>
      <c r="H34" s="744"/>
      <c r="I34" s="879"/>
      <c r="J34" s="883"/>
      <c r="K34" s="883"/>
      <c r="L34" s="883"/>
      <c r="M34" s="883"/>
      <c r="N34" s="880"/>
      <c r="O34" s="855"/>
      <c r="P34" s="855"/>
    </row>
    <row r="35" spans="1:16">
      <c r="A35" s="885"/>
      <c r="B35" s="855"/>
      <c r="C35" s="855"/>
      <c r="D35" s="886"/>
      <c r="E35" s="886"/>
      <c r="F35" s="744"/>
      <c r="G35" s="744"/>
      <c r="H35" s="744"/>
      <c r="I35" s="879"/>
      <c r="J35" s="883"/>
      <c r="K35" s="883"/>
      <c r="L35" s="883"/>
      <c r="M35" s="883"/>
      <c r="N35" s="880"/>
      <c r="O35" s="855"/>
      <c r="P35" s="855"/>
    </row>
    <row r="36" spans="1:16">
      <c r="A36" s="885"/>
      <c r="B36" s="855"/>
      <c r="C36" s="855"/>
      <c r="D36" s="855"/>
      <c r="E36" s="886"/>
      <c r="F36" s="744"/>
      <c r="G36" s="744"/>
      <c r="H36" s="744"/>
      <c r="I36" s="879"/>
      <c r="J36" s="883"/>
      <c r="K36" s="883"/>
      <c r="L36" s="883"/>
      <c r="M36" s="883"/>
      <c r="N36" s="880"/>
      <c r="O36" s="855"/>
      <c r="P36" s="855"/>
    </row>
    <row r="37" spans="1:16">
      <c r="A37" s="855"/>
      <c r="B37" s="855"/>
      <c r="C37" s="855"/>
      <c r="D37" s="855"/>
      <c r="E37" s="855"/>
      <c r="F37" s="855"/>
      <c r="G37" s="855"/>
      <c r="H37" s="855"/>
      <c r="I37" s="879"/>
      <c r="J37" s="883"/>
      <c r="K37" s="883"/>
      <c r="L37" s="883"/>
      <c r="M37" s="883"/>
      <c r="N37" s="880"/>
      <c r="O37" s="855"/>
      <c r="P37" s="855"/>
    </row>
    <row r="38" spans="1:16">
      <c r="A38" s="855"/>
      <c r="B38" s="855"/>
      <c r="C38" s="855"/>
      <c r="D38" s="855"/>
      <c r="E38" s="855"/>
      <c r="F38" s="855"/>
      <c r="G38" s="855"/>
      <c r="H38" s="855"/>
      <c r="I38" s="879"/>
      <c r="J38" s="883"/>
      <c r="K38" s="883"/>
      <c r="L38" s="883"/>
      <c r="M38" s="887"/>
      <c r="N38" s="880"/>
      <c r="O38" s="855"/>
      <c r="P38" s="855"/>
    </row>
    <row r="39" spans="1:16">
      <c r="A39" s="855"/>
      <c r="B39" s="855"/>
      <c r="C39" s="855"/>
      <c r="D39" s="855"/>
      <c r="E39" s="855"/>
      <c r="F39" s="855"/>
      <c r="G39" s="855"/>
      <c r="H39" s="855"/>
      <c r="I39" s="879"/>
      <c r="J39" s="883"/>
      <c r="K39" s="883"/>
      <c r="L39" s="883"/>
      <c r="M39" s="887"/>
      <c r="N39" s="880"/>
      <c r="O39" s="855"/>
      <c r="P39" s="855"/>
    </row>
    <row r="40" spans="1:16">
      <c r="A40" s="855"/>
      <c r="B40" s="855"/>
      <c r="C40" s="855"/>
      <c r="D40" s="855"/>
      <c r="E40" s="855"/>
      <c r="F40" s="855"/>
      <c r="G40" s="855"/>
      <c r="H40" s="855"/>
      <c r="I40" s="855"/>
      <c r="J40" s="855"/>
      <c r="K40" s="855"/>
      <c r="L40" s="855"/>
      <c r="M40" s="855"/>
      <c r="N40" s="855"/>
      <c r="O40" s="855"/>
      <c r="P40" s="855"/>
    </row>
    <row r="41" spans="1:16">
      <c r="A41" s="855"/>
      <c r="B41" s="855"/>
      <c r="C41" s="855"/>
      <c r="D41" s="855"/>
      <c r="E41" s="855"/>
      <c r="F41" s="855"/>
      <c r="G41" s="855"/>
      <c r="H41" s="855"/>
      <c r="I41" s="855"/>
      <c r="J41" s="855"/>
      <c r="K41" s="855"/>
      <c r="L41" s="855"/>
      <c r="M41" s="855"/>
      <c r="N41" s="855"/>
      <c r="O41" s="855"/>
      <c r="P41" s="855"/>
    </row>
    <row r="42" spans="1:16">
      <c r="A42" s="855"/>
      <c r="B42" s="855"/>
      <c r="C42" s="855"/>
      <c r="D42" s="855"/>
      <c r="E42" s="855"/>
      <c r="F42" s="855"/>
      <c r="G42" s="855"/>
      <c r="H42" s="855"/>
      <c r="I42" s="855"/>
      <c r="J42" s="855"/>
      <c r="K42" s="855"/>
      <c r="L42" s="855"/>
      <c r="M42" s="855"/>
      <c r="N42" s="855"/>
      <c r="O42" s="855"/>
      <c r="P42" s="855"/>
    </row>
    <row r="43" spans="1:16">
      <c r="A43" s="855"/>
      <c r="B43" s="855"/>
      <c r="C43" s="855"/>
      <c r="D43" s="855"/>
      <c r="E43" s="855"/>
      <c r="F43" s="855"/>
      <c r="G43" s="855"/>
      <c r="H43" s="855"/>
      <c r="I43" s="855"/>
      <c r="J43" s="855"/>
      <c r="K43" s="855"/>
      <c r="L43" s="855"/>
      <c r="M43" s="855"/>
      <c r="N43" s="855"/>
      <c r="O43" s="855"/>
      <c r="P43" s="855"/>
    </row>
    <row r="44" spans="1:16">
      <c r="A44" s="855"/>
      <c r="B44" s="855"/>
      <c r="C44" s="855"/>
      <c r="D44" s="855"/>
      <c r="E44" s="855"/>
      <c r="F44" s="855"/>
      <c r="G44" s="855"/>
      <c r="H44" s="855"/>
      <c r="I44" s="855"/>
      <c r="J44" s="855"/>
      <c r="K44" s="855"/>
      <c r="L44" s="855"/>
      <c r="M44" s="855"/>
      <c r="N44" s="855"/>
      <c r="O44" s="855"/>
      <c r="P44" s="855"/>
    </row>
    <row r="45" spans="1:16">
      <c r="A45" s="855"/>
      <c r="B45" s="855"/>
      <c r="C45" s="855"/>
      <c r="D45" s="855"/>
      <c r="E45" s="855"/>
      <c r="F45" s="855"/>
      <c r="G45" s="855"/>
      <c r="H45" s="855"/>
      <c r="I45" s="855"/>
      <c r="J45" s="855"/>
      <c r="K45" s="855"/>
      <c r="L45" s="855"/>
      <c r="M45" s="855"/>
      <c r="N45" s="855"/>
      <c r="O45" s="855"/>
      <c r="P45" s="855"/>
    </row>
    <row r="46" spans="1:16">
      <c r="A46" s="855"/>
      <c r="B46" s="855"/>
      <c r="C46" s="855"/>
      <c r="D46" s="855"/>
      <c r="E46" s="855"/>
      <c r="F46" s="855"/>
      <c r="G46" s="855"/>
      <c r="H46" s="855"/>
      <c r="I46" s="855"/>
      <c r="J46" s="855"/>
      <c r="K46" s="855"/>
      <c r="L46" s="855"/>
      <c r="M46" s="855"/>
      <c r="N46" s="855"/>
      <c r="O46" s="855"/>
      <c r="P46" s="855"/>
    </row>
    <row r="47" spans="1:16">
      <c r="A47" s="855"/>
      <c r="B47" s="855"/>
      <c r="C47" s="855"/>
      <c r="D47" s="855"/>
      <c r="E47" s="855"/>
      <c r="F47" s="855"/>
      <c r="G47" s="855"/>
      <c r="H47" s="855"/>
      <c r="I47" s="855"/>
      <c r="J47" s="855"/>
      <c r="K47" s="855"/>
      <c r="L47" s="855"/>
      <c r="M47" s="855"/>
      <c r="N47" s="855"/>
      <c r="O47" s="855"/>
      <c r="P47" s="855"/>
    </row>
    <row r="48" spans="1:16">
      <c r="A48" s="855"/>
      <c r="B48" s="855"/>
      <c r="C48" s="855"/>
      <c r="D48" s="855"/>
      <c r="E48" s="855"/>
      <c r="F48" s="855"/>
      <c r="G48" s="855"/>
      <c r="H48" s="855"/>
      <c r="I48" s="855"/>
      <c r="J48" s="855"/>
      <c r="K48" s="855"/>
      <c r="L48" s="855"/>
      <c r="M48" s="855"/>
      <c r="N48" s="855"/>
      <c r="O48" s="855"/>
      <c r="P48" s="855"/>
    </row>
    <row r="49" spans="9:16">
      <c r="I49" s="855"/>
      <c r="J49" s="855"/>
      <c r="K49" s="855"/>
      <c r="L49" s="855"/>
      <c r="M49" s="855"/>
      <c r="N49" s="855"/>
      <c r="O49" s="855"/>
      <c r="P49" s="855"/>
    </row>
  </sheetData>
  <mergeCells count="6">
    <mergeCell ref="A25:G25"/>
    <mergeCell ref="B3:C3"/>
    <mergeCell ref="D3:E3"/>
    <mergeCell ref="B7:C7"/>
    <mergeCell ref="D7:E7"/>
    <mergeCell ref="A23:G24"/>
  </mergeCells>
  <pageMargins left="0.75" right="0.75" top="1" bottom="1" header="0.5" footer="0.5"/>
  <ignoredErrors>
    <ignoredError sqref="C13" formulaRange="1"/>
    <ignoredError sqref="H16:H21 B22:G22" emptyCellReference="1"/>
  </ignoredErrors>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45BA33"/>
  </sheetPr>
  <dimension ref="A1:W64"/>
  <sheetViews>
    <sheetView workbookViewId="0"/>
  </sheetViews>
  <sheetFormatPr defaultColWidth="8.85546875" defaultRowHeight="15"/>
  <cols>
    <col min="1" max="1" width="25.85546875" customWidth="1"/>
    <col min="2" max="2" width="21.42578125" customWidth="1"/>
    <col min="3" max="3" width="20.42578125" customWidth="1"/>
    <col min="4" max="4" width="15.140625" customWidth="1"/>
    <col min="5" max="5" width="19" customWidth="1"/>
    <col min="6" max="6" width="17.140625" customWidth="1"/>
    <col min="7" max="7" width="13.7109375" bestFit="1" customWidth="1"/>
  </cols>
  <sheetData>
    <row r="1" spans="1:11" ht="24.75">
      <c r="A1" s="1272" t="s">
        <v>1660</v>
      </c>
      <c r="B1" s="1272"/>
      <c r="C1" t="s">
        <v>1864</v>
      </c>
    </row>
    <row r="2" spans="1:11">
      <c r="A2" s="1" t="s">
        <v>0</v>
      </c>
    </row>
    <row r="3" spans="1:11">
      <c r="A3" s="2" t="s">
        <v>1</v>
      </c>
      <c r="B3" s="1825" t="s">
        <v>2</v>
      </c>
      <c r="C3" s="1825"/>
    </row>
    <row r="4" spans="1:11" ht="15.75" thickBot="1"/>
    <row r="5" spans="1:11" ht="15.75" thickBot="1">
      <c r="A5" s="3" t="s">
        <v>3</v>
      </c>
      <c r="B5" s="4" t="s">
        <v>4</v>
      </c>
      <c r="C5" s="5" t="s">
        <v>5</v>
      </c>
      <c r="D5" s="5" t="s">
        <v>6</v>
      </c>
      <c r="E5" s="5" t="s">
        <v>7</v>
      </c>
      <c r="F5" s="5" t="s">
        <v>8</v>
      </c>
      <c r="G5" s="5" t="s">
        <v>9</v>
      </c>
      <c r="H5" s="5" t="s">
        <v>10</v>
      </c>
      <c r="I5" s="6" t="s">
        <v>11</v>
      </c>
      <c r="J5" s="6" t="s">
        <v>12</v>
      </c>
      <c r="K5" s="7" t="s">
        <v>13</v>
      </c>
    </row>
    <row r="6" spans="1:11">
      <c r="A6" s="8" t="s">
        <v>14</v>
      </c>
      <c r="B6" s="9">
        <v>5190</v>
      </c>
      <c r="C6" s="10">
        <v>6455</v>
      </c>
      <c r="D6" s="10">
        <v>7517</v>
      </c>
      <c r="E6" s="10">
        <v>8721</v>
      </c>
      <c r="F6" s="10">
        <v>7773</v>
      </c>
      <c r="G6" s="10">
        <v>12130</v>
      </c>
      <c r="H6" s="10">
        <v>7839</v>
      </c>
      <c r="I6" s="10">
        <v>8499</v>
      </c>
      <c r="J6" s="11">
        <v>7808</v>
      </c>
      <c r="K6" s="12">
        <v>3055</v>
      </c>
    </row>
    <row r="7" spans="1:11">
      <c r="A7" s="13" t="s">
        <v>15</v>
      </c>
      <c r="B7" s="14">
        <v>3224</v>
      </c>
      <c r="C7" s="15">
        <v>5195</v>
      </c>
      <c r="D7" s="15">
        <v>4188</v>
      </c>
      <c r="E7" s="15">
        <v>2537</v>
      </c>
      <c r="F7" s="15">
        <v>3257</v>
      </c>
      <c r="G7" s="15">
        <v>3818</v>
      </c>
      <c r="H7" s="15">
        <v>4783</v>
      </c>
      <c r="I7" s="15">
        <v>5500</v>
      </c>
      <c r="J7" s="16">
        <v>5121</v>
      </c>
      <c r="K7" s="17">
        <v>2772</v>
      </c>
    </row>
    <row r="8" spans="1:11">
      <c r="A8" s="13" t="s">
        <v>16</v>
      </c>
      <c r="B8" s="14">
        <v>611</v>
      </c>
      <c r="C8" s="15">
        <v>751</v>
      </c>
      <c r="D8" s="15">
        <v>1418</v>
      </c>
      <c r="E8" s="15">
        <v>596</v>
      </c>
      <c r="F8" s="15">
        <v>550</v>
      </c>
      <c r="G8" s="15">
        <v>659</v>
      </c>
      <c r="H8" s="15">
        <v>641</v>
      </c>
      <c r="I8" s="15">
        <v>446</v>
      </c>
      <c r="J8" s="16">
        <v>444</v>
      </c>
      <c r="K8" s="17">
        <v>206</v>
      </c>
    </row>
    <row r="9" spans="1:11" ht="15.75" thickBot="1">
      <c r="A9" s="18" t="s">
        <v>17</v>
      </c>
      <c r="B9" s="19">
        <v>507</v>
      </c>
      <c r="C9" s="20">
        <v>259</v>
      </c>
      <c r="D9" s="21">
        <v>460</v>
      </c>
      <c r="E9" s="21">
        <v>1230</v>
      </c>
      <c r="F9" s="21">
        <v>344</v>
      </c>
      <c r="G9" s="21">
        <v>366</v>
      </c>
      <c r="H9" s="21">
        <v>234</v>
      </c>
      <c r="I9" s="21">
        <v>157</v>
      </c>
      <c r="J9" s="22">
        <v>329</v>
      </c>
      <c r="K9" s="23">
        <v>297</v>
      </c>
    </row>
    <row r="10" spans="1:11" ht="15.75" thickBot="1">
      <c r="A10" s="24" t="s">
        <v>18</v>
      </c>
      <c r="B10" s="25">
        <v>9532</v>
      </c>
      <c r="C10" s="26">
        <v>12660</v>
      </c>
      <c r="D10" s="26">
        <v>13583</v>
      </c>
      <c r="E10" s="26">
        <v>13084</v>
      </c>
      <c r="F10" s="26">
        <v>11924</v>
      </c>
      <c r="G10" s="26">
        <v>16973</v>
      </c>
      <c r="H10" s="26">
        <v>13497</v>
      </c>
      <c r="I10" s="26">
        <v>14602</v>
      </c>
      <c r="J10" s="27">
        <f>SUM(J6:J9)</f>
        <v>13702</v>
      </c>
      <c r="K10" s="28">
        <f>SUM(K6:K9)</f>
        <v>6330</v>
      </c>
    </row>
    <row r="12" spans="1:11">
      <c r="A12" s="29" t="s">
        <v>19</v>
      </c>
      <c r="B12" s="30" t="s">
        <v>20</v>
      </c>
      <c r="C12" s="30"/>
      <c r="D12" s="30"/>
      <c r="F12" s="31"/>
      <c r="G12" s="31"/>
      <c r="H12" s="31"/>
      <c r="I12" s="31"/>
      <c r="J12" s="31"/>
      <c r="K12" s="31"/>
    </row>
    <row r="13" spans="1:11" ht="15.75" thickBot="1">
      <c r="A13" s="31"/>
      <c r="B13" s="31"/>
      <c r="C13" s="31"/>
      <c r="D13" s="31"/>
      <c r="E13" s="31"/>
      <c r="F13" s="31"/>
      <c r="G13" s="31"/>
      <c r="H13" s="31"/>
      <c r="I13" s="31"/>
      <c r="J13" s="31"/>
      <c r="K13" s="31"/>
    </row>
    <row r="14" spans="1:11" ht="15.75" thickBot="1">
      <c r="A14" s="32" t="s">
        <v>21</v>
      </c>
      <c r="B14" s="5" t="s">
        <v>4</v>
      </c>
      <c r="C14" s="5" t="s">
        <v>5</v>
      </c>
      <c r="D14" s="5" t="s">
        <v>6</v>
      </c>
      <c r="E14" s="5" t="s">
        <v>7</v>
      </c>
      <c r="F14" s="5" t="s">
        <v>8</v>
      </c>
      <c r="G14" s="5" t="s">
        <v>9</v>
      </c>
      <c r="H14" s="5" t="s">
        <v>10</v>
      </c>
      <c r="I14" s="5" t="s">
        <v>11</v>
      </c>
      <c r="J14" s="6" t="s">
        <v>12</v>
      </c>
      <c r="K14" s="7" t="s">
        <v>13</v>
      </c>
    </row>
    <row r="15" spans="1:11">
      <c r="A15" s="33" t="s">
        <v>22</v>
      </c>
      <c r="B15" s="10">
        <v>5194</v>
      </c>
      <c r="C15" s="10">
        <v>7228</v>
      </c>
      <c r="D15" s="10">
        <v>7240</v>
      </c>
      <c r="E15" s="10">
        <v>6388</v>
      </c>
      <c r="F15" s="10">
        <v>6599</v>
      </c>
      <c r="G15" s="10">
        <v>7039</v>
      </c>
      <c r="H15" s="10">
        <v>7403</v>
      </c>
      <c r="I15" s="10">
        <v>8590</v>
      </c>
      <c r="J15" s="11">
        <v>8582</v>
      </c>
      <c r="K15" s="12">
        <v>4665</v>
      </c>
    </row>
    <row r="16" spans="1:11">
      <c r="A16" s="34" t="s">
        <v>23</v>
      </c>
      <c r="B16" s="15">
        <v>412</v>
      </c>
      <c r="C16" s="15">
        <v>559</v>
      </c>
      <c r="D16" s="15">
        <v>610</v>
      </c>
      <c r="E16" s="15">
        <v>498</v>
      </c>
      <c r="F16" s="15">
        <v>531</v>
      </c>
      <c r="G16" s="15">
        <v>986</v>
      </c>
      <c r="H16" s="15">
        <v>690</v>
      </c>
      <c r="I16" s="15">
        <v>632</v>
      </c>
      <c r="J16" s="16">
        <v>463</v>
      </c>
      <c r="K16" s="17">
        <v>117</v>
      </c>
    </row>
    <row r="17" spans="1:23">
      <c r="A17" s="34" t="s">
        <v>24</v>
      </c>
      <c r="B17" s="15">
        <v>684</v>
      </c>
      <c r="C17" s="15">
        <v>1120</v>
      </c>
      <c r="D17" s="15">
        <v>1189</v>
      </c>
      <c r="E17" s="15">
        <v>1437</v>
      </c>
      <c r="F17" s="15">
        <v>765</v>
      </c>
      <c r="G17" s="15">
        <v>1749</v>
      </c>
      <c r="H17" s="15">
        <v>1146</v>
      </c>
      <c r="I17" s="15">
        <v>1198</v>
      </c>
      <c r="J17" s="16">
        <v>1332</v>
      </c>
      <c r="K17" s="17">
        <v>332</v>
      </c>
    </row>
    <row r="18" spans="1:23">
      <c r="A18" s="34" t="s">
        <v>25</v>
      </c>
      <c r="B18" s="15">
        <v>2749</v>
      </c>
      <c r="C18" s="15">
        <v>3426</v>
      </c>
      <c r="D18" s="15">
        <v>4048</v>
      </c>
      <c r="E18" s="15">
        <v>4259</v>
      </c>
      <c r="F18" s="15">
        <v>3692</v>
      </c>
      <c r="G18" s="15">
        <v>6433</v>
      </c>
      <c r="H18" s="15">
        <v>3920</v>
      </c>
      <c r="I18" s="35">
        <v>3595</v>
      </c>
      <c r="J18" s="16">
        <v>2920</v>
      </c>
      <c r="K18" s="17">
        <v>1029</v>
      </c>
    </row>
    <row r="19" spans="1:23" ht="15.75" thickBot="1">
      <c r="A19" s="36" t="s">
        <v>26</v>
      </c>
      <c r="B19" s="21">
        <v>313</v>
      </c>
      <c r="C19" s="21">
        <v>327</v>
      </c>
      <c r="D19" s="21">
        <v>496</v>
      </c>
      <c r="E19" s="21">
        <v>502</v>
      </c>
      <c r="F19" s="21">
        <v>337</v>
      </c>
      <c r="G19" s="21">
        <v>766</v>
      </c>
      <c r="H19" s="21">
        <v>338</v>
      </c>
      <c r="I19" s="21">
        <v>587</v>
      </c>
      <c r="J19" s="22">
        <v>405</v>
      </c>
      <c r="K19" s="23">
        <v>187</v>
      </c>
    </row>
    <row r="20" spans="1:23" ht="15.75" thickBot="1">
      <c r="A20" s="37" t="s">
        <v>18</v>
      </c>
      <c r="B20" s="26">
        <v>9352</v>
      </c>
      <c r="C20" s="26">
        <v>12660</v>
      </c>
      <c r="D20" s="26">
        <v>13583</v>
      </c>
      <c r="E20" s="26">
        <v>13084</v>
      </c>
      <c r="F20" s="26">
        <v>11924</v>
      </c>
      <c r="G20" s="26">
        <v>16973</v>
      </c>
      <c r="H20" s="26">
        <v>13497</v>
      </c>
      <c r="I20" s="26">
        <v>14602</v>
      </c>
      <c r="J20" s="27">
        <f>SUM(J15:J19)</f>
        <v>13702</v>
      </c>
      <c r="K20" s="28">
        <f>SUM(K15:K19)</f>
        <v>6330</v>
      </c>
    </row>
    <row r="21" spans="1:23">
      <c r="A21" s="753" t="s">
        <v>1307</v>
      </c>
      <c r="B21">
        <f>+B20-B15</f>
        <v>4158</v>
      </c>
      <c r="C21">
        <f t="shared" ref="C21:K21" si="0">+C20-C15</f>
        <v>5432</v>
      </c>
      <c r="D21">
        <f t="shared" si="0"/>
        <v>6343</v>
      </c>
      <c r="E21">
        <f t="shared" si="0"/>
        <v>6696</v>
      </c>
      <c r="F21">
        <f t="shared" si="0"/>
        <v>5325</v>
      </c>
      <c r="G21">
        <f t="shared" si="0"/>
        <v>9934</v>
      </c>
      <c r="H21">
        <f t="shared" si="0"/>
        <v>6094</v>
      </c>
      <c r="I21">
        <f t="shared" si="0"/>
        <v>6012</v>
      </c>
      <c r="J21">
        <f t="shared" si="0"/>
        <v>5120</v>
      </c>
      <c r="K21">
        <f t="shared" si="0"/>
        <v>1665</v>
      </c>
    </row>
    <row r="22" spans="1:23" ht="26.25">
      <c r="A22" s="1604" t="s">
        <v>1308</v>
      </c>
      <c r="B22" s="754">
        <f>+B21/B20</f>
        <v>0.44461077844311375</v>
      </c>
      <c r="C22" s="754">
        <f t="shared" ref="C22:K22" si="1">+C21/C20</f>
        <v>0.42906793048973146</v>
      </c>
      <c r="D22" s="754">
        <f t="shared" si="1"/>
        <v>0.46698078480453509</v>
      </c>
      <c r="E22" s="754">
        <f t="shared" si="1"/>
        <v>0.51177010088657904</v>
      </c>
      <c r="F22" s="754">
        <f t="shared" si="1"/>
        <v>0.44657832941965786</v>
      </c>
      <c r="G22" s="754">
        <f t="shared" si="1"/>
        <v>0.58528250751193067</v>
      </c>
      <c r="H22" s="754">
        <f t="shared" si="1"/>
        <v>0.45150774246128772</v>
      </c>
      <c r="I22" s="754">
        <f t="shared" si="1"/>
        <v>0.41172442131214904</v>
      </c>
      <c r="J22" s="754">
        <f t="shared" si="1"/>
        <v>0.37366807765289739</v>
      </c>
      <c r="K22" s="754">
        <f t="shared" si="1"/>
        <v>0.26303317535545023</v>
      </c>
    </row>
    <row r="23" spans="1:23" ht="26.25">
      <c r="A23" s="1605" t="s">
        <v>1309</v>
      </c>
      <c r="B23" s="754">
        <f>+B21/B6</f>
        <v>0.80115606936416184</v>
      </c>
      <c r="C23" s="754">
        <f t="shared" ref="C23:K23" si="2">+C21/C6</f>
        <v>0.8415182029434547</v>
      </c>
      <c r="D23" s="754">
        <f t="shared" si="2"/>
        <v>0.84382067314088072</v>
      </c>
      <c r="E23" s="754">
        <f t="shared" si="2"/>
        <v>0.7678018575851393</v>
      </c>
      <c r="F23" s="754">
        <f t="shared" si="2"/>
        <v>0.68506368197607104</v>
      </c>
      <c r="G23" s="754">
        <f t="shared" si="2"/>
        <v>0.81896125309150869</v>
      </c>
      <c r="H23" s="754">
        <f t="shared" si="2"/>
        <v>0.77739507590253853</v>
      </c>
      <c r="I23" s="754">
        <f t="shared" si="2"/>
        <v>0.70737733851041296</v>
      </c>
      <c r="J23" s="754">
        <f t="shared" si="2"/>
        <v>0.65573770491803274</v>
      </c>
      <c r="K23" s="754">
        <f t="shared" si="2"/>
        <v>0.5450081833060556</v>
      </c>
    </row>
    <row r="24" spans="1:23" ht="26.25">
      <c r="A24" s="1605" t="s">
        <v>1310</v>
      </c>
      <c r="B24" s="754"/>
      <c r="C24" s="754"/>
      <c r="D24" s="754"/>
      <c r="E24" s="754"/>
      <c r="F24" s="754"/>
      <c r="G24" s="754"/>
      <c r="H24" s="754">
        <f>+(H21+I21)/(H6+I6)</f>
        <v>0.74097196719304692</v>
      </c>
      <c r="I24" s="754"/>
      <c r="J24" s="754"/>
      <c r="K24" s="754"/>
    </row>
    <row r="25" spans="1:23">
      <c r="A25" s="755"/>
      <c r="B25" s="754"/>
      <c r="C25" s="754"/>
      <c r="D25" s="754"/>
      <c r="E25" s="754"/>
      <c r="F25" s="754"/>
      <c r="G25" s="754"/>
      <c r="H25" s="754"/>
      <c r="I25" s="754"/>
      <c r="J25" s="754"/>
      <c r="K25" s="754"/>
    </row>
    <row r="26" spans="1:23">
      <c r="A26" s="755"/>
      <c r="B26" s="754"/>
      <c r="C26" s="754"/>
      <c r="D26" s="754"/>
      <c r="E26" s="754"/>
      <c r="F26" s="754"/>
      <c r="G26" s="754"/>
      <c r="H26" s="754"/>
      <c r="I26" s="754"/>
      <c r="J26" s="754"/>
      <c r="K26" s="754"/>
    </row>
    <row r="27" spans="1:23">
      <c r="A27" s="755"/>
      <c r="B27" s="754"/>
      <c r="C27" s="754"/>
      <c r="D27" s="754"/>
      <c r="E27" s="754"/>
      <c r="F27" s="754"/>
      <c r="G27" s="754"/>
      <c r="H27" s="754"/>
      <c r="I27" s="754"/>
      <c r="J27" s="754"/>
      <c r="K27" s="754"/>
    </row>
    <row r="28" spans="1:23">
      <c r="A28" s="1" t="s">
        <v>27</v>
      </c>
    </row>
    <row r="29" spans="1:23" ht="15.75" thickBot="1">
      <c r="A29" s="1"/>
    </row>
    <row r="30" spans="1:23" ht="15.75" thickBot="1">
      <c r="A30" s="38" t="s">
        <v>28</v>
      </c>
      <c r="B30" s="27" t="s">
        <v>29</v>
      </c>
      <c r="C30" s="27" t="s">
        <v>30</v>
      </c>
      <c r="D30" s="39" t="s">
        <v>31</v>
      </c>
      <c r="E30" s="40" t="s">
        <v>32</v>
      </c>
      <c r="F30" s="41" t="s">
        <v>33</v>
      </c>
      <c r="G30" s="42"/>
      <c r="H30" s="42"/>
      <c r="I30" s="3" t="s">
        <v>3</v>
      </c>
      <c r="J30" s="8" t="s">
        <v>14</v>
      </c>
      <c r="K30" s="13" t="s">
        <v>15</v>
      </c>
      <c r="L30" s="13" t="s">
        <v>16</v>
      </c>
      <c r="M30" s="18" t="s">
        <v>17</v>
      </c>
      <c r="N30" s="24" t="s">
        <v>18</v>
      </c>
      <c r="P30" s="32" t="s">
        <v>21</v>
      </c>
      <c r="Q30" s="33" t="s">
        <v>22</v>
      </c>
      <c r="R30" s="34" t="s">
        <v>23</v>
      </c>
      <c r="S30" s="34" t="s">
        <v>24</v>
      </c>
      <c r="T30" s="34" t="s">
        <v>25</v>
      </c>
      <c r="U30" s="36" t="s">
        <v>26</v>
      </c>
      <c r="V30" s="37" t="s">
        <v>18</v>
      </c>
      <c r="W30" s="100" t="s">
        <v>101</v>
      </c>
    </row>
    <row r="31" spans="1:23" ht="15.75" thickBot="1">
      <c r="A31" s="43" t="s">
        <v>34</v>
      </c>
      <c r="B31" s="44">
        <v>11326720</v>
      </c>
      <c r="C31" s="44">
        <v>14013483.540000001</v>
      </c>
      <c r="D31" s="11"/>
      <c r="E31" s="45">
        <v>330000</v>
      </c>
      <c r="F31" s="46">
        <v>25670203.539999999</v>
      </c>
      <c r="G31" s="47"/>
      <c r="H31" s="47"/>
      <c r="I31" s="89" t="s">
        <v>13</v>
      </c>
      <c r="J31" s="91">
        <v>3055</v>
      </c>
      <c r="K31" s="70">
        <v>2772</v>
      </c>
      <c r="L31" s="70">
        <v>206</v>
      </c>
      <c r="M31" s="94">
        <v>297</v>
      </c>
      <c r="N31" s="96">
        <f>SUM(J31:M31)</f>
        <v>6330</v>
      </c>
      <c r="P31" s="6" t="s">
        <v>13</v>
      </c>
      <c r="Q31" s="11">
        <v>4665</v>
      </c>
      <c r="R31" s="16">
        <v>117</v>
      </c>
      <c r="S31" s="16">
        <v>332</v>
      </c>
      <c r="T31" s="16">
        <v>1029</v>
      </c>
      <c r="U31" s="22">
        <v>187</v>
      </c>
      <c r="V31" s="27">
        <f>SUM(Q31:U31)</f>
        <v>6330</v>
      </c>
      <c r="W31" s="99">
        <f>+(V31-Q31)/V31</f>
        <v>0.26303317535545023</v>
      </c>
    </row>
    <row r="32" spans="1:23" ht="15.75" thickBot="1">
      <c r="A32" s="48" t="s">
        <v>35</v>
      </c>
      <c r="B32" s="49">
        <v>9694493.0999999996</v>
      </c>
      <c r="C32" s="49">
        <v>16842860.940000001</v>
      </c>
      <c r="D32" s="16">
        <v>0</v>
      </c>
      <c r="E32" s="50">
        <v>302500</v>
      </c>
      <c r="F32" s="51">
        <v>26839854.039999999</v>
      </c>
      <c r="G32" s="47"/>
      <c r="H32" s="47"/>
      <c r="I32" s="6" t="s">
        <v>12</v>
      </c>
      <c r="J32" s="11">
        <v>7808</v>
      </c>
      <c r="K32" s="16">
        <v>5121</v>
      </c>
      <c r="L32" s="16">
        <v>444</v>
      </c>
      <c r="M32" s="22">
        <v>329</v>
      </c>
      <c r="N32" s="27">
        <f>SUM(J32:M32)</f>
        <v>13702</v>
      </c>
      <c r="P32" s="6" t="s">
        <v>12</v>
      </c>
      <c r="Q32" s="11">
        <v>8582</v>
      </c>
      <c r="R32" s="16">
        <v>463</v>
      </c>
      <c r="S32" s="16">
        <v>1332</v>
      </c>
      <c r="T32" s="16">
        <v>2920</v>
      </c>
      <c r="U32" s="22">
        <v>405</v>
      </c>
      <c r="V32" s="27">
        <f>SUM(Q32:U32)</f>
        <v>13702</v>
      </c>
      <c r="W32" s="99">
        <f t="shared" ref="W32:W40" si="3">+(V32-Q32)/V32</f>
        <v>0.37366807765289739</v>
      </c>
    </row>
    <row r="33" spans="1:23" ht="15.75" thickBot="1">
      <c r="A33" s="48" t="s">
        <v>36</v>
      </c>
      <c r="B33" s="49">
        <v>6794712.3799999999</v>
      </c>
      <c r="C33" s="52">
        <v>30877049.480000004</v>
      </c>
      <c r="D33" s="16">
        <v>0</v>
      </c>
      <c r="E33" s="50">
        <v>318900</v>
      </c>
      <c r="F33" s="51">
        <v>37990661.860000007</v>
      </c>
      <c r="G33" s="47"/>
      <c r="H33" s="47"/>
      <c r="I33" s="6" t="s">
        <v>11</v>
      </c>
      <c r="J33" s="10">
        <v>8499</v>
      </c>
      <c r="K33" s="15">
        <v>5500</v>
      </c>
      <c r="L33" s="15">
        <v>446</v>
      </c>
      <c r="M33" s="21">
        <v>157</v>
      </c>
      <c r="N33" s="26">
        <v>14602</v>
      </c>
      <c r="P33" s="5" t="s">
        <v>11</v>
      </c>
      <c r="Q33" s="10">
        <v>8590</v>
      </c>
      <c r="R33" s="15">
        <v>632</v>
      </c>
      <c r="S33" s="15">
        <v>1198</v>
      </c>
      <c r="T33" s="35">
        <v>3595</v>
      </c>
      <c r="U33" s="21">
        <v>587</v>
      </c>
      <c r="V33" s="26">
        <v>14602</v>
      </c>
      <c r="W33" s="99">
        <f t="shared" si="3"/>
        <v>0.41172442131214904</v>
      </c>
    </row>
    <row r="34" spans="1:23" ht="15.75" thickBot="1">
      <c r="A34" s="48" t="s">
        <v>37</v>
      </c>
      <c r="B34" s="53">
        <v>8920000</v>
      </c>
      <c r="C34" s="54">
        <v>18286388</v>
      </c>
      <c r="D34" s="49">
        <v>186000</v>
      </c>
      <c r="E34" s="50">
        <v>353000</v>
      </c>
      <c r="F34" s="51">
        <v>27745388</v>
      </c>
      <c r="G34" s="47"/>
      <c r="H34" s="47"/>
      <c r="I34" s="5" t="s">
        <v>10</v>
      </c>
      <c r="J34" s="10">
        <v>7839</v>
      </c>
      <c r="K34" s="15">
        <v>4783</v>
      </c>
      <c r="L34" s="15">
        <v>641</v>
      </c>
      <c r="M34" s="21">
        <v>234</v>
      </c>
      <c r="N34" s="26">
        <v>13497</v>
      </c>
      <c r="P34" s="5" t="s">
        <v>10</v>
      </c>
      <c r="Q34" s="10">
        <v>7403</v>
      </c>
      <c r="R34" s="15">
        <v>690</v>
      </c>
      <c r="S34" s="15">
        <v>1146</v>
      </c>
      <c r="T34" s="15">
        <v>3920</v>
      </c>
      <c r="U34" s="21">
        <v>338</v>
      </c>
      <c r="V34" s="26">
        <v>13497</v>
      </c>
      <c r="W34" s="99">
        <f t="shared" si="3"/>
        <v>0.45150774246128772</v>
      </c>
    </row>
    <row r="35" spans="1:23" ht="15.75" thickBot="1">
      <c r="A35" s="55" t="s">
        <v>38</v>
      </c>
      <c r="B35" s="49">
        <v>8053373.0800000001</v>
      </c>
      <c r="C35" s="52">
        <v>17502157.600000001</v>
      </c>
      <c r="D35" s="49">
        <v>200640</v>
      </c>
      <c r="E35" s="50">
        <v>345680</v>
      </c>
      <c r="F35" s="51">
        <v>26101850.68</v>
      </c>
      <c r="G35" s="47"/>
      <c r="H35" s="47"/>
      <c r="I35" s="5" t="s">
        <v>9</v>
      </c>
      <c r="J35" s="10">
        <v>12130</v>
      </c>
      <c r="K35" s="15">
        <v>3818</v>
      </c>
      <c r="L35" s="15">
        <v>659</v>
      </c>
      <c r="M35" s="21">
        <v>366</v>
      </c>
      <c r="N35" s="26">
        <v>16973</v>
      </c>
      <c r="P35" s="5" t="s">
        <v>9</v>
      </c>
      <c r="Q35" s="10">
        <v>7039</v>
      </c>
      <c r="R35" s="15">
        <v>986</v>
      </c>
      <c r="S35" s="15">
        <v>1749</v>
      </c>
      <c r="T35" s="15">
        <v>6433</v>
      </c>
      <c r="U35" s="21">
        <v>766</v>
      </c>
      <c r="V35" s="26">
        <v>16973</v>
      </c>
      <c r="W35" s="99">
        <f t="shared" si="3"/>
        <v>0.58528250751193067</v>
      </c>
    </row>
    <row r="36" spans="1:23" ht="15.75" thickBot="1">
      <c r="A36" s="55" t="s">
        <v>39</v>
      </c>
      <c r="B36" s="49">
        <v>6508614.9199999999</v>
      </c>
      <c r="C36" s="49">
        <v>14530302.35</v>
      </c>
      <c r="D36" s="16">
        <v>0</v>
      </c>
      <c r="E36" s="50">
        <v>360700</v>
      </c>
      <c r="F36" s="51">
        <v>21399617.27</v>
      </c>
      <c r="G36" s="47"/>
      <c r="H36" s="47"/>
      <c r="I36" s="5" t="s">
        <v>8</v>
      </c>
      <c r="J36" s="10">
        <v>7773</v>
      </c>
      <c r="K36" s="15">
        <v>3257</v>
      </c>
      <c r="L36" s="15">
        <v>550</v>
      </c>
      <c r="M36" s="21">
        <v>344</v>
      </c>
      <c r="N36" s="26">
        <v>11924</v>
      </c>
      <c r="P36" s="5" t="s">
        <v>8</v>
      </c>
      <c r="Q36" s="10">
        <v>6599</v>
      </c>
      <c r="R36" s="15">
        <v>531</v>
      </c>
      <c r="S36" s="15">
        <v>765</v>
      </c>
      <c r="T36" s="15">
        <v>3692</v>
      </c>
      <c r="U36" s="21">
        <v>337</v>
      </c>
      <c r="V36" s="26">
        <v>11924</v>
      </c>
      <c r="W36" s="99">
        <f t="shared" si="3"/>
        <v>0.44657832941965786</v>
      </c>
    </row>
    <row r="37" spans="1:23" ht="15.75" thickBot="1">
      <c r="A37" s="56" t="s">
        <v>40</v>
      </c>
      <c r="B37" s="57">
        <v>6245580</v>
      </c>
      <c r="C37" s="49">
        <v>12539583.380000001</v>
      </c>
      <c r="D37" s="58">
        <v>0</v>
      </c>
      <c r="E37" s="59">
        <v>0</v>
      </c>
      <c r="F37" s="51">
        <f>SUM(B37:E37)</f>
        <v>18785163.380000003</v>
      </c>
      <c r="G37" s="47"/>
      <c r="H37" s="47"/>
      <c r="I37" s="5" t="s">
        <v>7</v>
      </c>
      <c r="J37" s="10">
        <v>8721</v>
      </c>
      <c r="K37" s="15">
        <v>2537</v>
      </c>
      <c r="L37" s="15">
        <v>596</v>
      </c>
      <c r="M37" s="21">
        <v>1230</v>
      </c>
      <c r="N37" s="26">
        <v>13084</v>
      </c>
      <c r="P37" s="5" t="s">
        <v>7</v>
      </c>
      <c r="Q37" s="10">
        <v>6388</v>
      </c>
      <c r="R37" s="15">
        <v>498</v>
      </c>
      <c r="S37" s="15">
        <v>1437</v>
      </c>
      <c r="T37" s="15">
        <v>4259</v>
      </c>
      <c r="U37" s="21">
        <v>502</v>
      </c>
      <c r="V37" s="26">
        <v>13084</v>
      </c>
      <c r="W37" s="99">
        <f t="shared" si="3"/>
        <v>0.51177010088657904</v>
      </c>
    </row>
    <row r="38" spans="1:23" ht="15.75" thickBot="1">
      <c r="A38" s="867" t="s">
        <v>41</v>
      </c>
      <c r="B38" s="868">
        <v>5486289</v>
      </c>
      <c r="C38" s="869">
        <v>8290012.1900000004</v>
      </c>
      <c r="D38" s="22">
        <v>0</v>
      </c>
      <c r="E38" s="870">
        <v>0</v>
      </c>
      <c r="F38" s="871">
        <f>SUM(B38:E38)</f>
        <v>13776301.190000001</v>
      </c>
      <c r="G38" s="47"/>
      <c r="H38" s="47"/>
      <c r="I38" s="5" t="s">
        <v>6</v>
      </c>
      <c r="J38" s="10">
        <v>7517</v>
      </c>
      <c r="K38" s="15">
        <v>4188</v>
      </c>
      <c r="L38" s="15">
        <v>1418</v>
      </c>
      <c r="M38" s="21">
        <v>460</v>
      </c>
      <c r="N38" s="26">
        <v>13583</v>
      </c>
      <c r="P38" s="5" t="s">
        <v>6</v>
      </c>
      <c r="Q38" s="10">
        <v>7240</v>
      </c>
      <c r="R38" s="15">
        <v>610</v>
      </c>
      <c r="S38" s="15">
        <v>1189</v>
      </c>
      <c r="T38" s="15">
        <v>4048</v>
      </c>
      <c r="U38" s="21">
        <v>496</v>
      </c>
      <c r="V38" s="26">
        <v>13583</v>
      </c>
      <c r="W38" s="99">
        <f t="shared" si="3"/>
        <v>0.46698078480453509</v>
      </c>
    </row>
    <row r="39" spans="1:23" ht="15.75" thickBot="1">
      <c r="A39" s="872" t="s">
        <v>1324</v>
      </c>
      <c r="B39" s="873">
        <f>+(B33+B34)/2</f>
        <v>7857356.1899999995</v>
      </c>
      <c r="C39" s="873">
        <f>+(C33+C34)/2</f>
        <v>24581718.740000002</v>
      </c>
      <c r="D39" s="873">
        <f>+(D33+D34)/2</f>
        <v>93000</v>
      </c>
      <c r="E39" s="873">
        <f>+(E33+E34)/2</f>
        <v>335950</v>
      </c>
      <c r="F39" s="873">
        <f>+(F33+F34)/2</f>
        <v>32868024.930000003</v>
      </c>
      <c r="I39" s="5" t="s">
        <v>5</v>
      </c>
      <c r="J39" s="10">
        <v>6455</v>
      </c>
      <c r="K39" s="15">
        <v>5195</v>
      </c>
      <c r="L39" s="15">
        <v>751</v>
      </c>
      <c r="M39" s="20">
        <v>259</v>
      </c>
      <c r="N39" s="26">
        <v>12660</v>
      </c>
      <c r="P39" s="5" t="s">
        <v>5</v>
      </c>
      <c r="Q39" s="10">
        <v>7228</v>
      </c>
      <c r="R39" s="15">
        <v>559</v>
      </c>
      <c r="S39" s="15">
        <v>1120</v>
      </c>
      <c r="T39" s="15">
        <v>3426</v>
      </c>
      <c r="U39" s="21">
        <v>327</v>
      </c>
      <c r="V39" s="26">
        <v>12660</v>
      </c>
      <c r="W39" s="99">
        <f t="shared" si="3"/>
        <v>0.42906793048973146</v>
      </c>
    </row>
    <row r="40" spans="1:23" ht="15.75" thickBot="1">
      <c r="I40" s="90" t="s">
        <v>4</v>
      </c>
      <c r="J40" s="92">
        <v>5190</v>
      </c>
      <c r="K40" s="93">
        <v>3224</v>
      </c>
      <c r="L40" s="93">
        <v>611</v>
      </c>
      <c r="M40" s="95">
        <v>507</v>
      </c>
      <c r="N40" s="97">
        <v>9532</v>
      </c>
      <c r="P40" s="90" t="s">
        <v>4</v>
      </c>
      <c r="Q40" s="92">
        <v>5194</v>
      </c>
      <c r="R40" s="93">
        <v>412</v>
      </c>
      <c r="S40" s="93">
        <v>684</v>
      </c>
      <c r="T40" s="93">
        <v>2749</v>
      </c>
      <c r="U40" s="98">
        <v>313</v>
      </c>
      <c r="V40" s="97">
        <v>9352</v>
      </c>
      <c r="W40" s="99">
        <f t="shared" si="3"/>
        <v>0.44461077844311375</v>
      </c>
    </row>
    <row r="41" spans="1:23" ht="15.75" thickBot="1">
      <c r="A41" s="88" t="s">
        <v>100</v>
      </c>
      <c r="B41" s="89" t="s">
        <v>13</v>
      </c>
      <c r="C41" s="101">
        <f>+B31/J31</f>
        <v>3707.6006546644844</v>
      </c>
    </row>
    <row r="42" spans="1:23" ht="15.75" thickBot="1">
      <c r="B42" s="6" t="s">
        <v>12</v>
      </c>
      <c r="C42" s="101">
        <f t="shared" ref="C42:C50" si="4">+B32/J32</f>
        <v>1241.6102843237704</v>
      </c>
    </row>
    <row r="43" spans="1:23" ht="15.75" thickBot="1">
      <c r="B43" s="6" t="s">
        <v>11</v>
      </c>
      <c r="C43" s="101">
        <f t="shared" si="4"/>
        <v>799.47198258618664</v>
      </c>
    </row>
    <row r="44" spans="1:23" ht="15.75" thickBot="1">
      <c r="B44" s="5" t="s">
        <v>10</v>
      </c>
      <c r="C44" s="101">
        <f t="shared" si="4"/>
        <v>1137.9002423778543</v>
      </c>
    </row>
    <row r="45" spans="1:23" ht="15.75" thickBot="1">
      <c r="B45" s="5" t="s">
        <v>9</v>
      </c>
      <c r="C45" s="101">
        <f t="shared" si="4"/>
        <v>663.92193569661993</v>
      </c>
    </row>
    <row r="46" spans="1:23" ht="15.75" thickBot="1">
      <c r="B46" s="5" t="s">
        <v>8</v>
      </c>
      <c r="C46" s="101">
        <f t="shared" si="4"/>
        <v>837.33628200180112</v>
      </c>
    </row>
    <row r="47" spans="1:23" ht="15.75" thickBot="1">
      <c r="B47" s="5" t="s">
        <v>7</v>
      </c>
      <c r="C47" s="101">
        <f t="shared" si="4"/>
        <v>716.15411076711382</v>
      </c>
    </row>
    <row r="48" spans="1:23" ht="15.75" thickBot="1">
      <c r="B48" s="5" t="s">
        <v>6</v>
      </c>
      <c r="C48" s="101">
        <f t="shared" si="4"/>
        <v>729.85087135825461</v>
      </c>
    </row>
    <row r="49" spans="1:4" ht="15.75" thickBot="1">
      <c r="B49" s="5" t="s">
        <v>5</v>
      </c>
      <c r="C49" s="101">
        <f t="shared" si="4"/>
        <v>1217.2511525948876</v>
      </c>
    </row>
    <row r="50" spans="1:4" ht="15.75" thickBot="1">
      <c r="B50" s="90" t="s">
        <v>4</v>
      </c>
      <c r="C50" s="101">
        <f t="shared" si="4"/>
        <v>0</v>
      </c>
    </row>
    <row r="54" spans="1:4">
      <c r="A54" t="s">
        <v>482</v>
      </c>
      <c r="B54" s="29" t="s">
        <v>483</v>
      </c>
      <c r="C54" s="29" t="s">
        <v>484</v>
      </c>
    </row>
    <row r="55" spans="1:4">
      <c r="A55" s="123" t="s">
        <v>485</v>
      </c>
      <c r="B55" s="124">
        <f>+B31+B32/2</f>
        <v>16173966.550000001</v>
      </c>
      <c r="C55">
        <f>+J31+J32/2</f>
        <v>6959</v>
      </c>
      <c r="D55" t="s">
        <v>495</v>
      </c>
    </row>
    <row r="56" spans="1:4">
      <c r="A56" s="123" t="s">
        <v>486</v>
      </c>
      <c r="B56" s="124">
        <f t="shared" ref="B56:B61" si="5">+AVERAGE(B32:B33)</f>
        <v>8244602.7400000002</v>
      </c>
      <c r="C56">
        <f t="shared" ref="C56:C63" si="6">+AVERAGE(J32:J33)</f>
        <v>8153.5</v>
      </c>
    </row>
    <row r="57" spans="1:4">
      <c r="A57" s="123" t="s">
        <v>487</v>
      </c>
      <c r="B57" s="124">
        <f t="shared" si="5"/>
        <v>7857356.1899999995</v>
      </c>
      <c r="C57">
        <f t="shared" si="6"/>
        <v>8169</v>
      </c>
    </row>
    <row r="58" spans="1:4">
      <c r="A58" s="123" t="s">
        <v>488</v>
      </c>
      <c r="B58" s="124">
        <f t="shared" si="5"/>
        <v>8486686.5399999991</v>
      </c>
      <c r="C58">
        <f t="shared" si="6"/>
        <v>9984.5</v>
      </c>
    </row>
    <row r="59" spans="1:4">
      <c r="A59" s="123" t="s">
        <v>489</v>
      </c>
      <c r="B59" s="124">
        <f t="shared" si="5"/>
        <v>7280994</v>
      </c>
      <c r="C59">
        <f t="shared" si="6"/>
        <v>9951.5</v>
      </c>
    </row>
    <row r="60" spans="1:4">
      <c r="A60" s="123" t="s">
        <v>490</v>
      </c>
      <c r="B60" s="124">
        <f t="shared" si="5"/>
        <v>6377097.46</v>
      </c>
      <c r="C60">
        <f t="shared" si="6"/>
        <v>8247</v>
      </c>
    </row>
    <row r="61" spans="1:4">
      <c r="A61" s="123" t="s">
        <v>491</v>
      </c>
      <c r="B61" s="124">
        <f t="shared" si="5"/>
        <v>5865934.5</v>
      </c>
      <c r="C61">
        <f t="shared" si="6"/>
        <v>8119</v>
      </c>
    </row>
    <row r="62" spans="1:4">
      <c r="A62" s="123" t="s">
        <v>492</v>
      </c>
      <c r="B62" s="124"/>
      <c r="C62">
        <f t="shared" si="6"/>
        <v>6986</v>
      </c>
    </row>
    <row r="63" spans="1:4">
      <c r="A63" s="123" t="s">
        <v>493</v>
      </c>
      <c r="B63" s="124"/>
      <c r="C63">
        <f t="shared" si="6"/>
        <v>5822.5</v>
      </c>
    </row>
    <row r="64" spans="1:4">
      <c r="A64" s="123" t="s">
        <v>494</v>
      </c>
    </row>
  </sheetData>
  <sortState ref="P26:V35">
    <sortCondition descending="1" ref="P26:P35"/>
  </sortState>
  <mergeCells count="1">
    <mergeCell ref="B3:C3"/>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45BA33"/>
  </sheetPr>
  <dimension ref="A1:G48"/>
  <sheetViews>
    <sheetView workbookViewId="0"/>
  </sheetViews>
  <sheetFormatPr defaultColWidth="8.85546875" defaultRowHeight="15"/>
  <cols>
    <col min="1" max="1" width="19.7109375" customWidth="1"/>
    <col min="2" max="2" width="25.7109375" customWidth="1"/>
    <col min="3" max="3" width="20.7109375" customWidth="1"/>
    <col min="4" max="4" width="21" customWidth="1"/>
    <col min="5" max="5" width="18.7109375" customWidth="1"/>
    <col min="6" max="6" width="19.140625" customWidth="1"/>
    <col min="7" max="7" width="10.42578125" bestFit="1" customWidth="1"/>
  </cols>
  <sheetData>
    <row r="1" spans="1:6" ht="24.75">
      <c r="A1" s="1262" t="s">
        <v>1661</v>
      </c>
      <c r="B1" s="1273"/>
      <c r="C1" t="s">
        <v>1864</v>
      </c>
    </row>
    <row r="2" spans="1:6">
      <c r="A2" s="1" t="s">
        <v>0</v>
      </c>
    </row>
    <row r="3" spans="1:6">
      <c r="A3" s="60" t="s">
        <v>42</v>
      </c>
      <c r="B3" s="61"/>
      <c r="C3" s="62"/>
      <c r="D3" s="63"/>
      <c r="E3" s="60" t="s">
        <v>43</v>
      </c>
      <c r="F3" s="64"/>
    </row>
    <row r="4" spans="1:6">
      <c r="A4" s="65" t="s">
        <v>44</v>
      </c>
      <c r="B4" s="66" t="s">
        <v>45</v>
      </c>
      <c r="C4" s="67" t="s">
        <v>46</v>
      </c>
      <c r="D4" s="62" t="s">
        <v>47</v>
      </c>
      <c r="E4" s="750" t="s">
        <v>48</v>
      </c>
      <c r="F4" s="68" t="s">
        <v>49</v>
      </c>
    </row>
    <row r="5" spans="1:6">
      <c r="A5" s="69" t="s">
        <v>97</v>
      </c>
      <c r="B5" s="70">
        <v>1109</v>
      </c>
      <c r="C5" s="16">
        <v>1832</v>
      </c>
      <c r="D5" s="16">
        <v>1932</v>
      </c>
      <c r="E5" s="71" t="s">
        <v>22</v>
      </c>
      <c r="F5" s="16">
        <v>3150</v>
      </c>
    </row>
    <row r="6" spans="1:6">
      <c r="A6" s="71" t="s">
        <v>98</v>
      </c>
      <c r="B6" s="70"/>
      <c r="C6" s="16">
        <v>1317</v>
      </c>
      <c r="D6" s="16">
        <v>1391</v>
      </c>
      <c r="E6" s="72" t="s">
        <v>23</v>
      </c>
      <c r="F6" s="16">
        <v>163</v>
      </c>
    </row>
    <row r="7" spans="1:6">
      <c r="A7" s="71" t="s">
        <v>50</v>
      </c>
      <c r="B7" s="16">
        <v>1375</v>
      </c>
      <c r="C7" s="72">
        <v>1080</v>
      </c>
      <c r="D7" s="16">
        <v>2714</v>
      </c>
      <c r="E7" s="72" t="s">
        <v>24</v>
      </c>
      <c r="F7" s="16">
        <v>161</v>
      </c>
    </row>
    <row r="8" spans="1:6">
      <c r="A8" s="72" t="s">
        <v>16</v>
      </c>
      <c r="B8" s="16">
        <v>116</v>
      </c>
      <c r="C8" s="72">
        <v>90</v>
      </c>
      <c r="D8" s="16">
        <v>184</v>
      </c>
      <c r="E8" s="72" t="s">
        <v>25</v>
      </c>
      <c r="F8" s="16">
        <v>384</v>
      </c>
    </row>
    <row r="9" spans="1:6">
      <c r="A9" s="73" t="s">
        <v>51</v>
      </c>
      <c r="B9" s="16">
        <v>9</v>
      </c>
      <c r="C9" s="72">
        <v>38</v>
      </c>
      <c r="D9" s="16">
        <v>93</v>
      </c>
      <c r="E9" s="72" t="s">
        <v>26</v>
      </c>
      <c r="F9" s="16">
        <v>82</v>
      </c>
    </row>
    <row r="10" spans="1:6">
      <c r="A10" s="76" t="s">
        <v>33</v>
      </c>
      <c r="B10" s="1">
        <f>+SUM(B5:B9)</f>
        <v>2609</v>
      </c>
      <c r="C10" s="1">
        <f>+SUM(C5:C9)</f>
        <v>4357</v>
      </c>
      <c r="D10" s="1">
        <f>+SUM(D5:D9)</f>
        <v>6314</v>
      </c>
      <c r="E10" s="1"/>
      <c r="F10" s="1">
        <f>+SUM(F5:F9)</f>
        <v>3940</v>
      </c>
    </row>
    <row r="11" spans="1:6">
      <c r="A11" s="76" t="s">
        <v>496</v>
      </c>
      <c r="B11">
        <f>+B5+B6</f>
        <v>1109</v>
      </c>
      <c r="C11">
        <f>+C5+C6</f>
        <v>3149</v>
      </c>
      <c r="D11">
        <f>+D5+D6</f>
        <v>3323</v>
      </c>
    </row>
    <row r="12" spans="1:6">
      <c r="A12" s="440"/>
    </row>
    <row r="13" spans="1:6">
      <c r="A13" s="1" t="s">
        <v>27</v>
      </c>
    </row>
    <row r="14" spans="1:6">
      <c r="A14" s="66"/>
      <c r="B14" s="66" t="s">
        <v>95</v>
      </c>
      <c r="C14" s="66" t="s">
        <v>96</v>
      </c>
      <c r="D14" s="74" t="s">
        <v>30</v>
      </c>
      <c r="E14" s="75" t="s">
        <v>52</v>
      </c>
      <c r="F14" s="748" t="s">
        <v>53</v>
      </c>
    </row>
    <row r="15" spans="1:6">
      <c r="A15" s="72" t="s">
        <v>34</v>
      </c>
      <c r="B15" s="81">
        <v>4684760</v>
      </c>
      <c r="C15" s="745">
        <v>649</v>
      </c>
      <c r="D15" s="86">
        <v>1050155</v>
      </c>
      <c r="E15" s="86">
        <v>230000</v>
      </c>
      <c r="F15" s="749">
        <v>11480</v>
      </c>
    </row>
    <row r="16" spans="1:6">
      <c r="A16" s="72" t="s">
        <v>35</v>
      </c>
      <c r="B16" s="81">
        <v>3600075</v>
      </c>
      <c r="C16" s="745">
        <v>0</v>
      </c>
      <c r="D16" s="86">
        <v>1923317</v>
      </c>
      <c r="E16" s="86">
        <v>670000</v>
      </c>
      <c r="F16" s="749">
        <v>8650</v>
      </c>
    </row>
    <row r="17" spans="1:7">
      <c r="A17" s="72" t="s">
        <v>36</v>
      </c>
      <c r="B17" s="81">
        <v>2813860</v>
      </c>
      <c r="C17" s="745">
        <v>10</v>
      </c>
      <c r="D17" s="86">
        <v>1194961</v>
      </c>
      <c r="E17" s="86">
        <v>490000</v>
      </c>
      <c r="F17" s="749">
        <v>20640</v>
      </c>
    </row>
    <row r="18" spans="1:7">
      <c r="A18" s="72" t="s">
        <v>37</v>
      </c>
      <c r="B18" s="81">
        <v>4155351</v>
      </c>
      <c r="C18" s="745">
        <v>593</v>
      </c>
      <c r="D18" s="86">
        <v>1552244</v>
      </c>
      <c r="E18" s="86">
        <v>527000</v>
      </c>
      <c r="F18" s="749">
        <v>4580</v>
      </c>
    </row>
    <row r="19" spans="1:7">
      <c r="A19" s="76" t="s">
        <v>54</v>
      </c>
      <c r="B19" s="82"/>
      <c r="C19" s="85"/>
      <c r="D19" s="87"/>
      <c r="E19" s="87"/>
      <c r="F19" s="83"/>
    </row>
    <row r="20" spans="1:7">
      <c r="A20" s="746" t="s">
        <v>33</v>
      </c>
      <c r="B20" s="747">
        <f>+SUM(B15:B18)</f>
        <v>15254046</v>
      </c>
      <c r="C20" s="745">
        <f>+SUM(C15:C18)</f>
        <v>1252</v>
      </c>
      <c r="D20" s="747">
        <f>+SUM(D15:D18)</f>
        <v>5720677</v>
      </c>
      <c r="E20" s="747">
        <f>+SUM(E15:E18)</f>
        <v>1917000</v>
      </c>
      <c r="F20" s="747">
        <f>+SUM(F15:F18)</f>
        <v>45350</v>
      </c>
    </row>
    <row r="21" spans="1:7">
      <c r="A21" s="875" t="s">
        <v>1325</v>
      </c>
      <c r="B21" s="518">
        <f>+(B17+B18)/2</f>
        <v>3484605.5</v>
      </c>
      <c r="C21" s="876">
        <f>+(C17+C18)/2</f>
        <v>301.5</v>
      </c>
      <c r="D21" s="518">
        <f>+(D17+D18)/2</f>
        <v>1373602.5</v>
      </c>
      <c r="E21" s="518">
        <f>+(E17+E18)/2</f>
        <v>508500</v>
      </c>
      <c r="F21" s="518">
        <f>+(F17+F18)/2</f>
        <v>12610</v>
      </c>
    </row>
    <row r="22" spans="1:7">
      <c r="A22" s="877" t="s">
        <v>1326</v>
      </c>
      <c r="B22" s="878">
        <f>+B21</f>
        <v>3484605.5</v>
      </c>
      <c r="C22" s="873">
        <f>+C21*xr_2010</f>
        <v>45342.477416410649</v>
      </c>
      <c r="D22" s="878">
        <f>+D21</f>
        <v>1373602.5</v>
      </c>
      <c r="E22" s="878">
        <f>+E21</f>
        <v>508500</v>
      </c>
      <c r="F22" s="878">
        <f>+F21</f>
        <v>12610</v>
      </c>
      <c r="G22" s="421">
        <f>+SUM(B22:F22)</f>
        <v>5424660.477416411</v>
      </c>
    </row>
    <row r="23" spans="1:7">
      <c r="A23" s="88"/>
      <c r="B23" s="755"/>
      <c r="C23" s="249"/>
      <c r="D23" s="249"/>
    </row>
    <row r="24" spans="1:7">
      <c r="A24" s="249"/>
      <c r="B24" s="755"/>
      <c r="C24" s="249"/>
      <c r="D24" s="249"/>
    </row>
    <row r="25" spans="1:7">
      <c r="A25" s="249"/>
      <c r="B25" s="755"/>
      <c r="C25" s="249"/>
      <c r="D25" s="249"/>
    </row>
    <row r="26" spans="1:7">
      <c r="A26" s="249"/>
      <c r="B26" s="874"/>
      <c r="C26" s="249"/>
      <c r="D26" s="249"/>
    </row>
    <row r="27" spans="1:7">
      <c r="A27" s="249"/>
      <c r="B27" s="874"/>
      <c r="C27" s="249"/>
      <c r="D27" s="249"/>
    </row>
    <row r="28" spans="1:7">
      <c r="A28" s="249"/>
      <c r="B28" s="874"/>
      <c r="C28" s="249"/>
      <c r="D28" s="249"/>
    </row>
    <row r="29" spans="1:7">
      <c r="A29" s="249"/>
      <c r="B29" s="874"/>
      <c r="C29" s="249"/>
      <c r="D29" s="249"/>
    </row>
    <row r="30" spans="1:7">
      <c r="A30" s="249"/>
      <c r="B30" s="874"/>
      <c r="C30" s="249"/>
      <c r="D30" s="249"/>
    </row>
    <row r="31" spans="1:7">
      <c r="A31" s="249"/>
      <c r="B31" s="874"/>
      <c r="C31" s="249"/>
      <c r="D31" s="249"/>
    </row>
    <row r="32" spans="1:7">
      <c r="A32" s="249"/>
      <c r="B32" s="874"/>
      <c r="C32" s="249"/>
      <c r="D32" s="249"/>
    </row>
    <row r="38" spans="1:6">
      <c r="B38" s="29"/>
      <c r="C38" s="29"/>
      <c r="D38" s="29"/>
      <c r="E38" s="29"/>
      <c r="F38" s="29"/>
    </row>
    <row r="39" spans="1:6">
      <c r="A39" s="123"/>
      <c r="B39" s="83"/>
      <c r="C39" s="124"/>
      <c r="E39" s="125"/>
    </row>
    <row r="40" spans="1:6">
      <c r="A40" s="123"/>
      <c r="B40" s="83"/>
      <c r="C40" s="124"/>
      <c r="E40" s="125"/>
    </row>
    <row r="41" spans="1:6">
      <c r="A41" s="123"/>
      <c r="B41" s="83"/>
      <c r="C41" s="124"/>
      <c r="E41" s="125"/>
    </row>
    <row r="42" spans="1:6">
      <c r="A42" s="123"/>
      <c r="B42" s="124"/>
    </row>
    <row r="43" spans="1:6">
      <c r="A43" s="123"/>
      <c r="B43" s="124"/>
    </row>
    <row r="44" spans="1:6">
      <c r="A44" s="123"/>
      <c r="B44" s="124"/>
    </row>
    <row r="45" spans="1:6">
      <c r="A45" s="123"/>
      <c r="B45" s="124"/>
    </row>
    <row r="46" spans="1:6">
      <c r="A46" s="123"/>
      <c r="B46" s="124"/>
    </row>
    <row r="47" spans="1:6">
      <c r="A47" s="123"/>
      <c r="B47" s="124"/>
    </row>
    <row r="48" spans="1:6">
      <c r="A48" s="123"/>
    </row>
  </sheetData>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45BA33"/>
  </sheetPr>
  <dimension ref="B1:O10"/>
  <sheetViews>
    <sheetView topLeftCell="B1" workbookViewId="0">
      <pane xSplit="1" ySplit="3" topLeftCell="C4" activePane="bottomRight" state="frozen"/>
      <selection activeCell="B1" sqref="B1"/>
      <selection pane="topRight" activeCell="C1" sqref="C1"/>
      <selection pane="bottomLeft" activeCell="B4" sqref="B4"/>
      <selection pane="bottomRight" activeCell="B1" sqref="B1"/>
    </sheetView>
  </sheetViews>
  <sheetFormatPr defaultColWidth="8.85546875" defaultRowHeight="15"/>
  <cols>
    <col min="2" max="2" width="17.140625" customWidth="1"/>
    <col min="3" max="3" width="19.42578125" customWidth="1"/>
    <col min="4" max="4" width="20.42578125" customWidth="1"/>
    <col min="5" max="5" width="18.85546875" customWidth="1"/>
    <col min="6" max="6" width="17" customWidth="1"/>
    <col min="7" max="10" width="14.42578125" customWidth="1"/>
    <col min="11" max="15" width="14.42578125" bestFit="1" customWidth="1"/>
  </cols>
  <sheetData>
    <row r="1" spans="2:15" ht="24.75">
      <c r="B1" s="1272" t="s">
        <v>1662</v>
      </c>
      <c r="C1" s="1273"/>
      <c r="D1" t="s">
        <v>1864</v>
      </c>
    </row>
    <row r="2" spans="2:15" ht="15.75">
      <c r="B2" s="77"/>
      <c r="C2" s="1826" t="s">
        <v>55</v>
      </c>
      <c r="D2" s="1826"/>
      <c r="E2" s="1826"/>
      <c r="F2" s="1826"/>
      <c r="G2" s="1826"/>
      <c r="H2" s="1826"/>
      <c r="I2" s="1826"/>
      <c r="J2" s="1826"/>
    </row>
    <row r="3" spans="2:15" ht="15.75">
      <c r="B3" s="78" t="s">
        <v>56</v>
      </c>
      <c r="C3" s="78" t="s">
        <v>57</v>
      </c>
      <c r="D3" s="78" t="s">
        <v>58</v>
      </c>
      <c r="E3" s="78" t="s">
        <v>59</v>
      </c>
      <c r="F3" s="78" t="s">
        <v>60</v>
      </c>
      <c r="G3" s="78" t="s">
        <v>61</v>
      </c>
      <c r="H3" s="78" t="s">
        <v>62</v>
      </c>
      <c r="I3" s="78" t="s">
        <v>63</v>
      </c>
      <c r="J3" s="78" t="s">
        <v>64</v>
      </c>
      <c r="K3" s="79" t="s">
        <v>65</v>
      </c>
      <c r="L3" s="79" t="s">
        <v>66</v>
      </c>
      <c r="M3" s="79" t="s">
        <v>67</v>
      </c>
      <c r="N3" s="79" t="s">
        <v>68</v>
      </c>
      <c r="O3" s="752" t="s">
        <v>1302</v>
      </c>
    </row>
    <row r="4" spans="2:15" ht="15.75">
      <c r="B4" s="78" t="s">
        <v>69</v>
      </c>
      <c r="C4" s="102">
        <v>48890</v>
      </c>
      <c r="D4" s="102">
        <v>67700</v>
      </c>
      <c r="E4" s="102">
        <v>90178.83</v>
      </c>
      <c r="F4" s="102">
        <v>70980</v>
      </c>
      <c r="G4" s="102">
        <v>200984</v>
      </c>
      <c r="H4" s="102">
        <v>102132.13</v>
      </c>
      <c r="I4" s="102">
        <v>329449.92</v>
      </c>
      <c r="J4" s="102">
        <v>344031.45</v>
      </c>
      <c r="K4" s="102">
        <v>272304.65000000002</v>
      </c>
      <c r="L4" s="102">
        <v>191890.71</v>
      </c>
      <c r="M4" s="102">
        <v>121202.09</v>
      </c>
      <c r="N4" s="102">
        <v>106750</v>
      </c>
      <c r="O4" s="751">
        <f>+SUM(C4:N4)</f>
        <v>1946493.78</v>
      </c>
    </row>
    <row r="5" spans="2:15" ht="15.75">
      <c r="B5" s="78" t="s">
        <v>70</v>
      </c>
      <c r="C5" s="102">
        <v>48442.73</v>
      </c>
      <c r="D5" s="102">
        <v>18604.830000000002</v>
      </c>
      <c r="E5" s="102">
        <v>40374.75</v>
      </c>
      <c r="F5" s="102">
        <v>36983.32</v>
      </c>
      <c r="G5" s="102">
        <v>136667.96</v>
      </c>
      <c r="H5" s="102">
        <v>63412.800000000003</v>
      </c>
      <c r="I5" s="102">
        <v>199858.58</v>
      </c>
      <c r="J5" s="102">
        <v>148485.9</v>
      </c>
      <c r="K5" s="102">
        <v>135791.01</v>
      </c>
      <c r="L5" s="102">
        <v>187180.12</v>
      </c>
      <c r="M5" s="102">
        <v>108282.95</v>
      </c>
      <c r="N5" s="102">
        <v>0</v>
      </c>
      <c r="O5" s="751">
        <f t="shared" ref="O5:O10" si="0">+SUM(C5:N5)</f>
        <v>1124084.95</v>
      </c>
    </row>
    <row r="6" spans="2:15" ht="15.75">
      <c r="B6" s="78" t="s">
        <v>71</v>
      </c>
      <c r="C6" s="102">
        <v>27500</v>
      </c>
      <c r="D6" s="102">
        <v>40800</v>
      </c>
      <c r="E6" s="102">
        <v>59200</v>
      </c>
      <c r="F6" s="102">
        <v>15000</v>
      </c>
      <c r="G6" s="102">
        <v>30000</v>
      </c>
      <c r="H6" s="102">
        <v>50000</v>
      </c>
      <c r="I6" s="102">
        <v>59200</v>
      </c>
      <c r="J6" s="102">
        <v>84000</v>
      </c>
      <c r="K6" s="102">
        <v>181700</v>
      </c>
      <c r="L6" s="102">
        <v>46000</v>
      </c>
      <c r="M6" s="102">
        <v>24900</v>
      </c>
      <c r="N6" s="102">
        <v>0</v>
      </c>
      <c r="O6" s="751">
        <f t="shared" si="0"/>
        <v>618300</v>
      </c>
    </row>
    <row r="7" spans="2:15" ht="15.75">
      <c r="B7" s="78" t="s">
        <v>72</v>
      </c>
      <c r="C7" s="102">
        <v>0</v>
      </c>
      <c r="D7" s="102">
        <v>0</v>
      </c>
      <c r="E7" s="102">
        <v>33000</v>
      </c>
      <c r="F7" s="102">
        <v>5000</v>
      </c>
      <c r="G7" s="102">
        <v>0</v>
      </c>
      <c r="H7" s="102">
        <v>0</v>
      </c>
      <c r="I7" s="102">
        <v>40000</v>
      </c>
      <c r="J7" s="102">
        <v>25000</v>
      </c>
      <c r="K7" s="102">
        <v>40000</v>
      </c>
      <c r="L7" s="102">
        <v>35000</v>
      </c>
      <c r="M7" s="102">
        <v>0</v>
      </c>
      <c r="N7" s="102">
        <v>0</v>
      </c>
      <c r="O7" s="751">
        <f t="shared" si="0"/>
        <v>178000</v>
      </c>
    </row>
    <row r="8" spans="2:15" ht="15.75">
      <c r="B8" s="78" t="s">
        <v>73</v>
      </c>
      <c r="C8" s="102">
        <v>0</v>
      </c>
      <c r="D8" s="102">
        <v>0</v>
      </c>
      <c r="E8" s="102">
        <v>5000</v>
      </c>
      <c r="F8" s="102">
        <v>0</v>
      </c>
      <c r="G8" s="102">
        <v>0</v>
      </c>
      <c r="H8" s="102">
        <v>17000</v>
      </c>
      <c r="I8" s="102">
        <v>0</v>
      </c>
      <c r="J8" s="102">
        <v>6750</v>
      </c>
      <c r="K8" s="102">
        <v>500</v>
      </c>
      <c r="L8" s="102">
        <v>14000</v>
      </c>
      <c r="M8" s="102">
        <v>0</v>
      </c>
      <c r="N8" s="102">
        <v>0</v>
      </c>
      <c r="O8" s="751">
        <f t="shared" si="0"/>
        <v>43250</v>
      </c>
    </row>
    <row r="9" spans="2:15" ht="15.75">
      <c r="B9" s="79" t="s">
        <v>74</v>
      </c>
      <c r="C9" s="102">
        <v>0</v>
      </c>
      <c r="D9" s="102">
        <v>0</v>
      </c>
      <c r="E9" s="102">
        <v>0</v>
      </c>
      <c r="F9" s="102">
        <v>0</v>
      </c>
      <c r="G9" s="102">
        <v>0</v>
      </c>
      <c r="H9" s="102">
        <v>2500</v>
      </c>
      <c r="I9" s="102">
        <v>0</v>
      </c>
      <c r="J9" s="102">
        <v>2500</v>
      </c>
      <c r="K9" s="102">
        <v>0</v>
      </c>
      <c r="L9" s="102">
        <v>0</v>
      </c>
      <c r="M9" s="102">
        <v>2500</v>
      </c>
      <c r="N9" s="102">
        <v>0</v>
      </c>
      <c r="O9" s="751">
        <f t="shared" si="0"/>
        <v>7500</v>
      </c>
    </row>
    <row r="10" spans="2:15" ht="15.75">
      <c r="B10" s="80" t="s">
        <v>75</v>
      </c>
      <c r="C10" s="103">
        <f t="shared" ref="C10:N10" si="1">SUM(C4:C9)</f>
        <v>124832.73000000001</v>
      </c>
      <c r="D10" s="103">
        <f t="shared" si="1"/>
        <v>127104.83</v>
      </c>
      <c r="E10" s="103">
        <f t="shared" si="1"/>
        <v>227753.58000000002</v>
      </c>
      <c r="F10" s="103">
        <f t="shared" si="1"/>
        <v>127963.32</v>
      </c>
      <c r="G10" s="103">
        <f t="shared" si="1"/>
        <v>367651.95999999996</v>
      </c>
      <c r="H10" s="103">
        <f t="shared" si="1"/>
        <v>235044.93</v>
      </c>
      <c r="I10" s="103">
        <f t="shared" si="1"/>
        <v>628508.5</v>
      </c>
      <c r="J10" s="103">
        <f t="shared" si="1"/>
        <v>610767.35</v>
      </c>
      <c r="K10" s="103">
        <f t="shared" si="1"/>
        <v>630295.66</v>
      </c>
      <c r="L10" s="103">
        <f t="shared" si="1"/>
        <v>474070.82999999996</v>
      </c>
      <c r="M10" s="103">
        <f t="shared" si="1"/>
        <v>256885.03999999998</v>
      </c>
      <c r="N10" s="103">
        <f t="shared" si="1"/>
        <v>106750</v>
      </c>
      <c r="O10" s="751">
        <f t="shared" si="0"/>
        <v>3917628.73</v>
      </c>
    </row>
  </sheetData>
  <mergeCells count="1">
    <mergeCell ref="C2:J2"/>
  </mergeCells>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45BA33"/>
  </sheetPr>
  <dimension ref="A1:AC31"/>
  <sheetViews>
    <sheetView workbookViewId="0"/>
  </sheetViews>
  <sheetFormatPr defaultColWidth="8.85546875" defaultRowHeight="15.75"/>
  <cols>
    <col min="1" max="1" width="9" style="104" bestFit="1" customWidth="1"/>
    <col min="2" max="2" width="10.85546875" style="104" customWidth="1"/>
    <col min="3" max="13" width="9" style="104" bestFit="1" customWidth="1"/>
    <col min="14" max="14" width="13.140625" style="104" customWidth="1"/>
    <col min="15" max="28" width="8.85546875" style="104"/>
    <col min="29" max="29" width="14.7109375" style="104" customWidth="1"/>
    <col min="30" max="16384" width="8.85546875" style="104"/>
  </cols>
  <sheetData>
    <row r="1" spans="1:29" ht="24.75">
      <c r="A1" s="1272" t="s">
        <v>1663</v>
      </c>
      <c r="B1" s="1322"/>
      <c r="C1" s="1322"/>
      <c r="D1" s="1322"/>
      <c r="E1" t="s">
        <v>1864</v>
      </c>
    </row>
    <row r="2" spans="1:29">
      <c r="B2" s="104" t="s">
        <v>76</v>
      </c>
      <c r="D2" s="105"/>
    </row>
    <row r="3" spans="1:29">
      <c r="A3" s="106"/>
    </row>
    <row r="4" spans="1:29">
      <c r="A4" s="104" t="s">
        <v>77</v>
      </c>
      <c r="B4" s="104" t="s">
        <v>78</v>
      </c>
      <c r="C4" s="104" t="s">
        <v>79</v>
      </c>
      <c r="D4" s="104" t="s">
        <v>80</v>
      </c>
      <c r="E4" s="104" t="s">
        <v>81</v>
      </c>
      <c r="F4" s="104" t="s">
        <v>82</v>
      </c>
      <c r="G4" s="104" t="s">
        <v>83</v>
      </c>
      <c r="H4" s="104" t="s">
        <v>84</v>
      </c>
      <c r="I4" s="104" t="s">
        <v>85</v>
      </c>
      <c r="J4" s="104" t="s">
        <v>86</v>
      </c>
      <c r="K4" s="104" t="s">
        <v>87</v>
      </c>
      <c r="L4" s="104" t="s">
        <v>88</v>
      </c>
      <c r="M4" s="104" t="s">
        <v>89</v>
      </c>
      <c r="N4" s="104" t="s">
        <v>90</v>
      </c>
    </row>
    <row r="5" spans="1:29">
      <c r="A5" s="107">
        <v>2009</v>
      </c>
      <c r="B5" s="107">
        <v>50</v>
      </c>
      <c r="C5" s="107">
        <v>35</v>
      </c>
      <c r="D5" s="107">
        <v>41</v>
      </c>
      <c r="E5" s="107">
        <v>79</v>
      </c>
      <c r="F5" s="107">
        <v>87</v>
      </c>
      <c r="G5" s="107">
        <v>112</v>
      </c>
      <c r="H5" s="107">
        <v>239</v>
      </c>
      <c r="I5" s="107">
        <v>184</v>
      </c>
      <c r="J5" s="107">
        <v>189</v>
      </c>
      <c r="K5" s="107">
        <v>146</v>
      </c>
      <c r="L5" s="107">
        <v>101</v>
      </c>
      <c r="M5" s="107">
        <v>115</v>
      </c>
      <c r="N5" s="108">
        <f>SUM(B5:M5)</f>
        <v>1378</v>
      </c>
      <c r="P5" s="107"/>
      <c r="Q5" s="107"/>
      <c r="R5" s="107"/>
      <c r="S5" s="107"/>
      <c r="T5" s="107"/>
      <c r="U5" s="107"/>
      <c r="V5" s="107"/>
      <c r="W5" s="107"/>
      <c r="X5" s="107"/>
      <c r="Y5" s="107"/>
      <c r="Z5" s="107"/>
      <c r="AA5" s="107"/>
      <c r="AB5" s="107"/>
      <c r="AC5" s="108"/>
    </row>
    <row r="6" spans="1:29">
      <c r="A6" s="107">
        <v>2010</v>
      </c>
      <c r="B6" s="107">
        <v>80</v>
      </c>
      <c r="C6" s="107">
        <v>35</v>
      </c>
      <c r="D6" s="107">
        <v>47</v>
      </c>
      <c r="E6" s="107">
        <v>182</v>
      </c>
      <c r="F6" s="107">
        <v>136</v>
      </c>
      <c r="G6" s="107">
        <v>145</v>
      </c>
      <c r="H6" s="107">
        <v>218</v>
      </c>
      <c r="I6" s="107">
        <v>185</v>
      </c>
      <c r="J6" s="107">
        <v>121</v>
      </c>
      <c r="K6" s="107">
        <v>212</v>
      </c>
      <c r="L6" s="107">
        <v>87</v>
      </c>
      <c r="M6" s="107">
        <v>136</v>
      </c>
      <c r="N6" s="108">
        <f>SUM(B6:M6)</f>
        <v>1584</v>
      </c>
      <c r="P6" s="107"/>
      <c r="Q6" s="107"/>
      <c r="R6" s="107"/>
      <c r="S6" s="107"/>
      <c r="T6" s="109"/>
      <c r="U6" s="109"/>
      <c r="V6" s="109"/>
      <c r="W6" s="109"/>
      <c r="X6" s="107"/>
      <c r="Y6" s="109"/>
      <c r="Z6" s="109"/>
      <c r="AA6" s="109"/>
      <c r="AB6" s="109"/>
      <c r="AC6" s="108"/>
    </row>
    <row r="7" spans="1:29">
      <c r="A7" s="107">
        <v>2011</v>
      </c>
      <c r="B7" s="107">
        <v>75</v>
      </c>
      <c r="C7" s="107">
        <v>29</v>
      </c>
      <c r="D7" s="107">
        <v>94</v>
      </c>
      <c r="E7" s="109">
        <v>185</v>
      </c>
      <c r="F7" s="109">
        <v>65</v>
      </c>
      <c r="G7" s="109">
        <v>110</v>
      </c>
      <c r="H7" s="109">
        <v>138</v>
      </c>
      <c r="I7" s="107">
        <v>115</v>
      </c>
      <c r="J7" s="109">
        <v>91</v>
      </c>
      <c r="K7" s="109">
        <v>116</v>
      </c>
      <c r="L7" s="109">
        <v>69</v>
      </c>
      <c r="M7" s="109">
        <v>96</v>
      </c>
      <c r="N7" s="108">
        <f>SUM(B7:M7)</f>
        <v>1183</v>
      </c>
      <c r="P7" s="107"/>
      <c r="Q7" s="107"/>
      <c r="R7" s="107"/>
      <c r="S7" s="107"/>
      <c r="T7" s="107"/>
      <c r="U7" s="107"/>
      <c r="V7" s="107"/>
      <c r="W7" s="107"/>
      <c r="X7" s="107"/>
      <c r="Y7" s="107"/>
      <c r="Z7" s="107"/>
      <c r="AA7" s="107"/>
      <c r="AB7" s="107"/>
      <c r="AC7" s="108"/>
    </row>
    <row r="8" spans="1:29">
      <c r="A8" s="107">
        <v>2012</v>
      </c>
      <c r="B8" s="107">
        <v>34</v>
      </c>
      <c r="C8" s="107">
        <v>24</v>
      </c>
      <c r="D8" s="107">
        <v>40</v>
      </c>
      <c r="E8" s="107">
        <v>0</v>
      </c>
      <c r="F8" s="107">
        <v>0</v>
      </c>
      <c r="G8" s="107">
        <v>0</v>
      </c>
      <c r="H8" s="107">
        <v>0</v>
      </c>
      <c r="I8" s="107">
        <v>0</v>
      </c>
      <c r="J8" s="107">
        <v>0</v>
      </c>
      <c r="K8" s="107">
        <v>0</v>
      </c>
      <c r="L8" s="107">
        <v>0</v>
      </c>
      <c r="M8" s="107">
        <v>0</v>
      </c>
      <c r="N8" s="108">
        <f>SUM(B8:M8)</f>
        <v>98</v>
      </c>
      <c r="P8" s="107"/>
      <c r="Q8" s="107"/>
      <c r="R8" s="107"/>
      <c r="S8" s="107"/>
      <c r="T8" s="107"/>
      <c r="U8" s="107"/>
      <c r="V8" s="107"/>
      <c r="W8" s="107"/>
      <c r="X8" s="107"/>
      <c r="Y8" s="107"/>
      <c r="Z8" s="107"/>
      <c r="AA8" s="107"/>
      <c r="AB8" s="107"/>
      <c r="AC8" s="108"/>
    </row>
    <row r="9" spans="1:29">
      <c r="B9" s="107"/>
      <c r="C9" s="107"/>
      <c r="D9" s="107"/>
      <c r="E9" s="107"/>
      <c r="F9" s="107"/>
      <c r="G9" s="107"/>
      <c r="H9" s="107"/>
      <c r="I9" s="107"/>
      <c r="J9" s="107"/>
      <c r="K9" s="107"/>
      <c r="L9" s="107"/>
      <c r="M9" s="107"/>
      <c r="N9" s="107"/>
      <c r="Q9" s="107"/>
      <c r="R9" s="107"/>
      <c r="S9" s="107"/>
      <c r="T9" s="107"/>
      <c r="U9" s="107"/>
      <c r="V9" s="107"/>
      <c r="W9" s="107"/>
      <c r="X9" s="107"/>
      <c r="Y9" s="107"/>
      <c r="Z9" s="107"/>
      <c r="AA9" s="107"/>
      <c r="AB9" s="107"/>
      <c r="AC9" s="107"/>
    </row>
    <row r="10" spans="1:29">
      <c r="A10" s="105" t="s">
        <v>102</v>
      </c>
      <c r="B10" s="107"/>
      <c r="C10" s="107"/>
      <c r="D10" s="107"/>
      <c r="E10" s="107"/>
      <c r="F10" s="107"/>
      <c r="G10" s="107"/>
      <c r="H10" s="107"/>
      <c r="I10" s="107"/>
      <c r="J10" s="107"/>
      <c r="K10" s="107"/>
      <c r="L10" s="107"/>
      <c r="M10" s="107"/>
      <c r="N10" s="107"/>
      <c r="P10" s="105"/>
      <c r="Q10" s="107"/>
      <c r="R10" s="107"/>
      <c r="S10" s="107"/>
      <c r="T10" s="107"/>
      <c r="U10" s="107"/>
      <c r="V10" s="107"/>
      <c r="W10" s="107"/>
      <c r="X10" s="107"/>
      <c r="Y10" s="107"/>
      <c r="Z10" s="107"/>
      <c r="AA10" s="107"/>
      <c r="AB10" s="107"/>
      <c r="AC10" s="107"/>
    </row>
    <row r="11" spans="1:29">
      <c r="A11" s="110" t="s">
        <v>91</v>
      </c>
      <c r="C11" s="108"/>
      <c r="D11" s="108"/>
      <c r="E11" s="108"/>
      <c r="F11" s="108"/>
      <c r="G11" s="107"/>
      <c r="H11" s="107"/>
      <c r="I11" s="107"/>
      <c r="J11" s="107"/>
      <c r="K11" s="107"/>
      <c r="L11" s="107"/>
      <c r="M11" s="107"/>
      <c r="N11" s="107"/>
      <c r="P11" s="110"/>
      <c r="R11" s="108"/>
      <c r="S11" s="108"/>
      <c r="T11" s="108"/>
      <c r="U11" s="108"/>
      <c r="V11" s="107"/>
      <c r="W11" s="107"/>
      <c r="X11" s="107"/>
      <c r="Y11" s="107"/>
      <c r="Z11" s="107"/>
      <c r="AA11" s="107"/>
      <c r="AB11" s="107"/>
      <c r="AC11" s="107"/>
    </row>
    <row r="12" spans="1:29">
      <c r="B12" s="107"/>
      <c r="C12" s="107"/>
      <c r="D12" s="107"/>
      <c r="E12" s="107"/>
      <c r="F12" s="107"/>
      <c r="G12" s="107"/>
      <c r="H12" s="107"/>
      <c r="I12" s="107"/>
      <c r="J12" s="107"/>
      <c r="K12" s="107"/>
      <c r="L12" s="107"/>
      <c r="M12" s="107"/>
      <c r="N12" s="107"/>
      <c r="Q12" s="107"/>
      <c r="R12" s="107"/>
      <c r="S12" s="107"/>
      <c r="T12" s="107"/>
      <c r="U12" s="107"/>
      <c r="V12" s="107"/>
      <c r="W12" s="107"/>
      <c r="X12" s="107"/>
      <c r="Y12" s="107"/>
      <c r="Z12" s="107"/>
      <c r="AA12" s="107"/>
      <c r="AB12" s="107"/>
      <c r="AC12" s="107"/>
    </row>
    <row r="13" spans="1:29">
      <c r="A13" s="105" t="s">
        <v>77</v>
      </c>
      <c r="B13" s="108" t="s">
        <v>78</v>
      </c>
      <c r="C13" s="108" t="s">
        <v>79</v>
      </c>
      <c r="D13" s="108" t="s">
        <v>80</v>
      </c>
      <c r="E13" s="108" t="s">
        <v>81</v>
      </c>
      <c r="F13" s="108" t="s">
        <v>82</v>
      </c>
      <c r="G13" s="108" t="s">
        <v>83</v>
      </c>
      <c r="H13" s="108" t="s">
        <v>84</v>
      </c>
      <c r="I13" s="108" t="s">
        <v>85</v>
      </c>
      <c r="J13" s="108" t="s">
        <v>86</v>
      </c>
      <c r="K13" s="108" t="s">
        <v>87</v>
      </c>
      <c r="L13" s="108" t="s">
        <v>88</v>
      </c>
      <c r="M13" s="108" t="s">
        <v>89</v>
      </c>
      <c r="N13" s="108" t="s">
        <v>90</v>
      </c>
      <c r="P13" s="105"/>
      <c r="Q13" s="108"/>
      <c r="R13" s="108"/>
      <c r="S13" s="108"/>
      <c r="T13" s="108"/>
      <c r="U13" s="108"/>
      <c r="V13" s="108"/>
      <c r="W13" s="108"/>
      <c r="X13" s="108"/>
      <c r="Y13" s="108"/>
      <c r="Z13" s="108"/>
      <c r="AA13" s="108"/>
      <c r="AB13" s="108"/>
      <c r="AC13" s="108"/>
    </row>
    <row r="14" spans="1:29">
      <c r="A14" s="107">
        <v>2009</v>
      </c>
      <c r="B14" s="111">
        <v>42920</v>
      </c>
      <c r="C14" s="111">
        <v>35560</v>
      </c>
      <c r="D14" s="111">
        <v>29820</v>
      </c>
      <c r="E14" s="111">
        <v>79940</v>
      </c>
      <c r="F14" s="111">
        <v>60820</v>
      </c>
      <c r="G14" s="111">
        <v>101080</v>
      </c>
      <c r="H14" s="111">
        <v>253170</v>
      </c>
      <c r="I14" s="111">
        <v>186340</v>
      </c>
      <c r="J14" s="111">
        <v>195300</v>
      </c>
      <c r="K14" s="111">
        <v>124940</v>
      </c>
      <c r="L14" s="111">
        <v>105310</v>
      </c>
      <c r="M14" s="111">
        <v>95760</v>
      </c>
      <c r="N14" s="112">
        <f>SUM(B14:M14)</f>
        <v>1310960</v>
      </c>
      <c r="P14" s="107"/>
      <c r="Q14" s="111"/>
      <c r="R14" s="111"/>
      <c r="S14" s="111"/>
      <c r="T14" s="111"/>
      <c r="U14" s="111"/>
      <c r="V14" s="111"/>
      <c r="W14" s="111"/>
      <c r="X14" s="111"/>
      <c r="Y14" s="111"/>
      <c r="Z14" s="111"/>
      <c r="AA14" s="111"/>
      <c r="AB14" s="111"/>
      <c r="AC14" s="112"/>
    </row>
    <row r="15" spans="1:29">
      <c r="A15" s="107">
        <v>2010</v>
      </c>
      <c r="B15" s="111">
        <v>59976</v>
      </c>
      <c r="C15" s="107" t="s">
        <v>92</v>
      </c>
      <c r="D15" s="111">
        <v>34720</v>
      </c>
      <c r="E15" s="111">
        <v>184140</v>
      </c>
      <c r="F15" s="111">
        <v>148910</v>
      </c>
      <c r="G15" s="111">
        <v>223513</v>
      </c>
      <c r="H15" s="111">
        <v>337160</v>
      </c>
      <c r="I15" s="111">
        <v>224200</v>
      </c>
      <c r="J15" s="111">
        <v>159210</v>
      </c>
      <c r="K15" s="111">
        <v>46860</v>
      </c>
      <c r="L15" s="111">
        <v>101060</v>
      </c>
      <c r="M15" s="111">
        <v>106800</v>
      </c>
      <c r="N15" s="112">
        <f>SUM(B15:M15)</f>
        <v>1626549</v>
      </c>
      <c r="P15" s="107"/>
      <c r="Q15" s="111"/>
      <c r="R15" s="111"/>
      <c r="S15" s="111"/>
      <c r="T15" s="113"/>
      <c r="U15" s="113"/>
      <c r="V15" s="113"/>
      <c r="W15" s="113"/>
      <c r="X15" s="111"/>
      <c r="Y15" s="113"/>
      <c r="Z15" s="113"/>
      <c r="AA15" s="113"/>
      <c r="AB15" s="113"/>
      <c r="AC15" s="112"/>
    </row>
    <row r="16" spans="1:29">
      <c r="A16" s="107">
        <v>2011</v>
      </c>
      <c r="B16" s="111">
        <v>74460</v>
      </c>
      <c r="C16" s="111">
        <v>31050</v>
      </c>
      <c r="D16" s="111">
        <v>95400</v>
      </c>
      <c r="E16" s="113">
        <v>183300</v>
      </c>
      <c r="F16" s="113">
        <v>56700</v>
      </c>
      <c r="G16" s="113">
        <v>233413</v>
      </c>
      <c r="H16" s="113">
        <v>203800</v>
      </c>
      <c r="I16" s="111">
        <v>224200</v>
      </c>
      <c r="J16" s="113">
        <v>108200</v>
      </c>
      <c r="K16" s="113">
        <v>209640</v>
      </c>
      <c r="L16" s="113">
        <v>123380</v>
      </c>
      <c r="M16" s="113">
        <v>207125</v>
      </c>
      <c r="N16" s="112">
        <f>SUM(B16:M16)</f>
        <v>1750668</v>
      </c>
      <c r="P16" s="107"/>
      <c r="Q16" s="111"/>
      <c r="R16" s="107"/>
      <c r="S16" s="111"/>
      <c r="T16" s="111"/>
      <c r="U16" s="111"/>
      <c r="V16" s="111"/>
      <c r="W16" s="111"/>
      <c r="X16" s="111"/>
      <c r="Y16" s="111"/>
      <c r="Z16" s="111"/>
      <c r="AA16" s="111"/>
      <c r="AB16" s="111"/>
      <c r="AC16" s="112"/>
    </row>
    <row r="17" spans="1:29">
      <c r="A17" s="107">
        <v>2012</v>
      </c>
      <c r="B17" s="111">
        <v>89765</v>
      </c>
      <c r="C17" s="111">
        <v>72805</v>
      </c>
      <c r="D17" s="111">
        <v>78965</v>
      </c>
      <c r="E17" s="111">
        <v>0</v>
      </c>
      <c r="F17" s="111">
        <v>0</v>
      </c>
      <c r="G17" s="111">
        <v>0</v>
      </c>
      <c r="H17" s="111">
        <v>0</v>
      </c>
      <c r="I17" s="111">
        <v>0</v>
      </c>
      <c r="J17" s="111">
        <v>0</v>
      </c>
      <c r="K17" s="111">
        <v>0</v>
      </c>
      <c r="L17" s="111">
        <v>0</v>
      </c>
      <c r="M17" s="111">
        <v>0</v>
      </c>
      <c r="N17" s="112">
        <f>SUM(B17:M17)</f>
        <v>241535</v>
      </c>
      <c r="P17" s="107"/>
      <c r="Q17" s="111"/>
      <c r="R17" s="111"/>
      <c r="S17" s="111"/>
      <c r="T17" s="111"/>
      <c r="U17" s="111"/>
      <c r="V17" s="111"/>
      <c r="W17" s="111"/>
      <c r="X17" s="111"/>
      <c r="Y17" s="111"/>
      <c r="Z17" s="111"/>
      <c r="AA17" s="111"/>
      <c r="AB17" s="111"/>
      <c r="AC17" s="112"/>
    </row>
    <row r="18" spans="1:29">
      <c r="B18" s="111"/>
      <c r="C18" s="111"/>
      <c r="D18" s="111"/>
      <c r="E18" s="111"/>
      <c r="F18" s="111"/>
      <c r="G18" s="111"/>
      <c r="H18" s="111"/>
      <c r="I18" s="111"/>
      <c r="J18" s="111"/>
      <c r="K18" s="111"/>
      <c r="L18" s="111"/>
      <c r="M18" s="111"/>
      <c r="N18" s="112"/>
      <c r="Q18" s="111"/>
      <c r="R18" s="111"/>
      <c r="S18" s="111"/>
      <c r="T18" s="111"/>
      <c r="U18" s="111"/>
      <c r="V18" s="111"/>
      <c r="W18" s="111"/>
      <c r="X18" s="111"/>
      <c r="Y18" s="111"/>
      <c r="Z18" s="111"/>
      <c r="AA18" s="111"/>
      <c r="AB18" s="111"/>
      <c r="AC18" s="112"/>
    </row>
    <row r="19" spans="1:29">
      <c r="A19" s="104" t="s">
        <v>93</v>
      </c>
      <c r="B19" s="114"/>
      <c r="C19" s="114"/>
      <c r="D19" s="114"/>
      <c r="E19" s="114"/>
      <c r="F19" s="114"/>
      <c r="G19" s="114"/>
      <c r="H19" s="114"/>
      <c r="I19" s="114"/>
      <c r="J19" s="114"/>
      <c r="K19" s="114" t="s">
        <v>94</v>
      </c>
      <c r="L19" s="114"/>
      <c r="M19" s="114"/>
      <c r="N19" s="115"/>
      <c r="Q19" s="114"/>
      <c r="R19" s="114"/>
      <c r="S19" s="114"/>
      <c r="T19" s="114"/>
      <c r="U19" s="114"/>
      <c r="V19" s="114"/>
      <c r="W19" s="114"/>
      <c r="X19" s="114"/>
      <c r="Y19" s="114"/>
      <c r="Z19" s="114"/>
      <c r="AA19" s="114"/>
      <c r="AB19" s="114"/>
      <c r="AC19" s="115"/>
    </row>
    <row r="23" spans="1:29">
      <c r="A23"/>
      <c r="B23"/>
    </row>
    <row r="24" spans="1:29">
      <c r="A24"/>
      <c r="B24"/>
    </row>
    <row r="25" spans="1:29">
      <c r="A25"/>
      <c r="B25"/>
    </row>
    <row r="26" spans="1:29">
      <c r="A26"/>
      <c r="B26"/>
    </row>
    <row r="27" spans="1:29">
      <c r="A27"/>
      <c r="B27"/>
      <c r="C27"/>
      <c r="D27"/>
      <c r="E27"/>
    </row>
    <row r="28" spans="1:29">
      <c r="A28"/>
      <c r="B28"/>
      <c r="C28"/>
      <c r="D28"/>
      <c r="E28"/>
    </row>
    <row r="29" spans="1:29">
      <c r="A29"/>
      <c r="B29"/>
      <c r="C29"/>
      <c r="D29"/>
      <c r="E29"/>
    </row>
    <row r="30" spans="1:29">
      <c r="A30"/>
      <c r="B30"/>
      <c r="C30"/>
      <c r="D30"/>
      <c r="E30"/>
    </row>
    <row r="31" spans="1:29">
      <c r="A31"/>
      <c r="B31"/>
      <c r="C31"/>
      <c r="D31"/>
      <c r="E31"/>
    </row>
  </sheetData>
  <sortState ref="P14:AC17">
    <sortCondition descending="1" ref="P14:P17"/>
  </sortState>
  <pageMargins left="0.7" right="0.7" top="0.75" bottom="0.75" header="0.3" footer="0.3"/>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tint="-0.499984740745262"/>
  </sheetPr>
  <dimension ref="A1:I81"/>
  <sheetViews>
    <sheetView workbookViewId="0"/>
  </sheetViews>
  <sheetFormatPr defaultColWidth="11.42578125" defaultRowHeight="15"/>
  <cols>
    <col min="1" max="1" width="25.28515625" customWidth="1"/>
    <col min="2" max="2" width="13.140625" customWidth="1"/>
    <col min="7" max="7" width="21.28515625" customWidth="1"/>
  </cols>
  <sheetData>
    <row r="1" spans="1:9" ht="24.75">
      <c r="A1" s="1262" t="s">
        <v>706</v>
      </c>
      <c r="B1" s="586"/>
    </row>
    <row r="2" spans="1:9" ht="16.5" thickBot="1">
      <c r="A2" s="105"/>
      <c r="F2" s="1"/>
    </row>
    <row r="3" spans="1:9" ht="19.5" thickBot="1">
      <c r="A3" s="331" t="s">
        <v>756</v>
      </c>
      <c r="B3" s="252"/>
      <c r="C3" s="252"/>
      <c r="D3" s="252"/>
      <c r="E3" s="253"/>
    </row>
    <row r="4" spans="1:9" ht="15.75" customHeight="1" thickBot="1">
      <c r="A4" s="262"/>
      <c r="B4" s="252" t="s">
        <v>22</v>
      </c>
      <c r="C4" s="252" t="s">
        <v>654</v>
      </c>
      <c r="D4" s="252" t="s">
        <v>655</v>
      </c>
      <c r="E4" s="253" t="s">
        <v>656</v>
      </c>
      <c r="G4" s="1828" t="s">
        <v>703</v>
      </c>
      <c r="H4" s="1828"/>
      <c r="I4" s="1828"/>
    </row>
    <row r="5" spans="1:9">
      <c r="A5" s="262" t="s">
        <v>657</v>
      </c>
      <c r="B5" s="291">
        <f>+E5+D5+C5</f>
        <v>12615298</v>
      </c>
      <c r="C5" s="291">
        <v>1630046</v>
      </c>
      <c r="D5" s="291">
        <v>5339926</v>
      </c>
      <c r="E5" s="292">
        <v>5645326</v>
      </c>
      <c r="G5" s="1828"/>
      <c r="H5" s="1828"/>
      <c r="I5" s="1828"/>
    </row>
    <row r="6" spans="1:9">
      <c r="A6" s="262" t="s">
        <v>571</v>
      </c>
      <c r="B6" s="291">
        <f>+E6+D6+C6</f>
        <v>2869933</v>
      </c>
      <c r="C6" s="291">
        <v>336602</v>
      </c>
      <c r="D6" s="291">
        <v>1192139</v>
      </c>
      <c r="E6" s="292">
        <v>1341192</v>
      </c>
      <c r="G6" s="1828"/>
      <c r="H6" s="1828"/>
      <c r="I6" s="1828"/>
    </row>
    <row r="7" spans="1:9">
      <c r="A7" s="262"/>
      <c r="B7" s="306" t="s">
        <v>660</v>
      </c>
      <c r="C7" s="307" t="s">
        <v>661</v>
      </c>
      <c r="D7" s="306" t="s">
        <v>662</v>
      </c>
      <c r="E7" s="308" t="s">
        <v>663</v>
      </c>
      <c r="G7" s="1828"/>
      <c r="H7" s="1828"/>
      <c r="I7" s="1828"/>
    </row>
    <row r="8" spans="1:9">
      <c r="A8" s="262" t="s">
        <v>658</v>
      </c>
      <c r="B8" s="309">
        <f>+B5/B6</f>
        <v>4.3956768328737992</v>
      </c>
      <c r="C8" s="310">
        <f>+C5/C6</f>
        <v>4.8426509646407334</v>
      </c>
      <c r="D8" s="309">
        <f>+D5/D6</f>
        <v>4.4792813589690468</v>
      </c>
      <c r="E8" s="311">
        <f>+E5/E6</f>
        <v>4.2091855603075476</v>
      </c>
      <c r="G8" s="1828"/>
      <c r="H8" s="1828"/>
      <c r="I8" s="1828"/>
    </row>
    <row r="9" spans="1:9">
      <c r="A9" s="262" t="s">
        <v>1559</v>
      </c>
      <c r="B9" s="249"/>
      <c r="C9" s="1179">
        <f>+C5/B5</f>
        <v>0.12921185056429108</v>
      </c>
      <c r="D9" s="1179">
        <f>+D5/B5</f>
        <v>0.4232897233184662</v>
      </c>
      <c r="E9" s="1180">
        <f>+E5/B5</f>
        <v>0.44749842611724272</v>
      </c>
      <c r="G9" s="1828"/>
      <c r="H9" s="1828"/>
      <c r="I9" s="1828"/>
    </row>
    <row r="10" spans="1:9" ht="63.75" customHeight="1" thickBot="1">
      <c r="A10" s="1677" t="s">
        <v>754</v>
      </c>
      <c r="B10" s="1717"/>
      <c r="C10" s="1717"/>
      <c r="D10" s="1717"/>
      <c r="E10" s="1678"/>
      <c r="G10" s="1828"/>
      <c r="H10" s="1828"/>
      <c r="I10" s="1828"/>
    </row>
    <row r="11" spans="1:9">
      <c r="G11" s="526"/>
      <c r="H11" s="526"/>
      <c r="I11" s="526"/>
    </row>
    <row r="34" spans="1:6">
      <c r="A34" t="s">
        <v>659</v>
      </c>
    </row>
    <row r="41" spans="1:6" ht="15.75" thickBot="1"/>
    <row r="42" spans="1:6" ht="18.75">
      <c r="A42" s="317" t="s">
        <v>757</v>
      </c>
      <c r="B42" s="255"/>
      <c r="C42" s="255"/>
      <c r="D42" s="255"/>
      <c r="E42" s="255"/>
      <c r="F42" s="256"/>
    </row>
    <row r="43" spans="1:6" ht="15.75" thickBot="1">
      <c r="A43" s="263"/>
      <c r="B43" s="222" t="s">
        <v>489</v>
      </c>
      <c r="C43" s="222" t="s">
        <v>488</v>
      </c>
      <c r="D43" s="222" t="s">
        <v>487</v>
      </c>
      <c r="E43" s="222" t="s">
        <v>486</v>
      </c>
      <c r="F43" s="312" t="s">
        <v>485</v>
      </c>
    </row>
    <row r="44" spans="1:6">
      <c r="A44" s="326" t="s">
        <v>670</v>
      </c>
      <c r="B44" s="320">
        <f>+SUM(B45:B54)</f>
        <v>5526960</v>
      </c>
      <c r="C44" s="324">
        <f>+SUM(C45:C54)</f>
        <v>5728303</v>
      </c>
      <c r="D44" s="324">
        <f>+SUM(D45:D54)</f>
        <v>5641691</v>
      </c>
      <c r="E44" s="324">
        <f>+SUM(E45:E54)</f>
        <v>6145539</v>
      </c>
      <c r="F44" s="325">
        <f>+SUM(F45:F54)</f>
        <v>6264357</v>
      </c>
    </row>
    <row r="45" spans="1:6">
      <c r="A45" s="280" t="s">
        <v>671</v>
      </c>
      <c r="B45" s="225">
        <v>626118</v>
      </c>
      <c r="C45" s="225">
        <v>641056</v>
      </c>
      <c r="D45" s="225">
        <v>655979</v>
      </c>
      <c r="E45" s="225">
        <v>671137</v>
      </c>
      <c r="F45" s="233">
        <v>686636</v>
      </c>
    </row>
    <row r="46" spans="1:6">
      <c r="A46" s="280" t="s">
        <v>672</v>
      </c>
      <c r="B46" s="225">
        <v>559950</v>
      </c>
      <c r="C46" s="225">
        <v>586430</v>
      </c>
      <c r="D46" s="225">
        <v>613692</v>
      </c>
      <c r="E46" s="225">
        <v>641895</v>
      </c>
      <c r="F46" s="233">
        <v>671075</v>
      </c>
    </row>
    <row r="47" spans="1:6">
      <c r="A47" s="280" t="s">
        <v>673</v>
      </c>
      <c r="B47" s="225">
        <v>629123</v>
      </c>
      <c r="C47" s="225">
        <v>654730</v>
      </c>
      <c r="D47" s="225">
        <v>680881</v>
      </c>
      <c r="E47" s="225">
        <v>707862</v>
      </c>
      <c r="F47" s="233">
        <v>735836</v>
      </c>
    </row>
    <row r="48" spans="1:6">
      <c r="A48" s="280" t="s">
        <v>674</v>
      </c>
      <c r="B48" s="225">
        <v>1234106</v>
      </c>
      <c r="C48" s="225">
        <v>1264442</v>
      </c>
      <c r="D48" s="225">
        <v>1294496</v>
      </c>
      <c r="E48" s="225">
        <v>1325010</v>
      </c>
      <c r="F48" s="233">
        <v>1256289</v>
      </c>
    </row>
    <row r="49" spans="1:6">
      <c r="A49" s="280" t="s">
        <v>675</v>
      </c>
      <c r="B49" s="225">
        <v>459878</v>
      </c>
      <c r="C49" s="225">
        <v>476775</v>
      </c>
      <c r="D49" s="225">
        <v>494011</v>
      </c>
      <c r="E49" s="225">
        <v>511792</v>
      </c>
      <c r="F49" s="233">
        <v>530218</v>
      </c>
    </row>
    <row r="50" spans="1:6">
      <c r="A50" s="280" t="s">
        <v>676</v>
      </c>
      <c r="B50" s="225">
        <v>304458</v>
      </c>
      <c r="C50" s="225">
        <v>314422</v>
      </c>
      <c r="D50" s="225">
        <v>32417</v>
      </c>
      <c r="E50" s="225">
        <v>334856</v>
      </c>
      <c r="F50" s="233">
        <v>345495</v>
      </c>
    </row>
    <row r="51" spans="1:6">
      <c r="A51" s="280" t="s">
        <v>677</v>
      </c>
      <c r="B51" s="225">
        <v>472850</v>
      </c>
      <c r="C51" s="225">
        <v>486294</v>
      </c>
      <c r="D51" s="225">
        <v>499936</v>
      </c>
      <c r="E51" s="225">
        <v>513865</v>
      </c>
      <c r="F51" s="233">
        <v>528088</v>
      </c>
    </row>
    <row r="52" spans="1:6">
      <c r="A52" s="280" t="s">
        <v>678</v>
      </c>
      <c r="B52" s="225">
        <v>225472</v>
      </c>
      <c r="C52" s="225">
        <v>233480</v>
      </c>
      <c r="D52" s="225">
        <v>241590</v>
      </c>
      <c r="E52" s="225">
        <v>249914</v>
      </c>
      <c r="F52" s="233">
        <v>258499</v>
      </c>
    </row>
    <row r="53" spans="1:6">
      <c r="A53" s="280" t="s">
        <v>679</v>
      </c>
      <c r="B53" s="225">
        <v>338790</v>
      </c>
      <c r="C53" s="225">
        <v>349646</v>
      </c>
      <c r="D53" s="225">
        <v>360677</v>
      </c>
      <c r="E53" s="225">
        <v>371938</v>
      </c>
      <c r="F53" s="233">
        <v>383421</v>
      </c>
    </row>
    <row r="54" spans="1:6" ht="15.75" thickBot="1">
      <c r="A54" s="279" t="s">
        <v>698</v>
      </c>
      <c r="B54" s="322">
        <v>676215</v>
      </c>
      <c r="C54" s="322">
        <v>721028</v>
      </c>
      <c r="D54" s="322">
        <v>768012</v>
      </c>
      <c r="E54" s="322">
        <v>817270</v>
      </c>
      <c r="F54" s="323">
        <v>868800</v>
      </c>
    </row>
    <row r="55" spans="1:6">
      <c r="A55" s="327" t="s">
        <v>680</v>
      </c>
      <c r="B55" s="315">
        <f>+SUM(B56:B62)</f>
        <v>1713241</v>
      </c>
      <c r="C55" s="315">
        <f>+SUM(C56:C62)</f>
        <v>1770650</v>
      </c>
      <c r="D55" s="315">
        <f>+SUM(D56:D62)</f>
        <v>1829992</v>
      </c>
      <c r="E55" s="315">
        <f>+SUM(E56:E62)</f>
        <v>1891578</v>
      </c>
      <c r="F55" s="316">
        <f>+SUM(F56:F62)</f>
        <v>1955528</v>
      </c>
    </row>
    <row r="56" spans="1:6">
      <c r="A56" s="280" t="s">
        <v>681</v>
      </c>
      <c r="B56" s="225">
        <v>179384</v>
      </c>
      <c r="C56" s="225">
        <v>184402</v>
      </c>
      <c r="D56" s="225">
        <v>189492</v>
      </c>
      <c r="E56" s="225">
        <v>194707</v>
      </c>
      <c r="F56" s="233">
        <v>200061</v>
      </c>
    </row>
    <row r="57" spans="1:6">
      <c r="A57" s="280" t="s">
        <v>682</v>
      </c>
      <c r="B57" s="225">
        <v>270609</v>
      </c>
      <c r="C57" s="225">
        <v>279421</v>
      </c>
      <c r="D57" s="225">
        <v>288433</v>
      </c>
      <c r="E57" s="225">
        <v>297694</v>
      </c>
      <c r="F57" s="233">
        <v>307216</v>
      </c>
    </row>
    <row r="58" spans="1:6">
      <c r="A58" s="280" t="s">
        <v>683</v>
      </c>
      <c r="B58" s="225">
        <v>10444</v>
      </c>
      <c r="C58" s="225">
        <v>10435</v>
      </c>
      <c r="D58" s="225">
        <v>10429</v>
      </c>
      <c r="E58" s="225">
        <v>10426</v>
      </c>
      <c r="F58" s="233">
        <v>10420</v>
      </c>
    </row>
    <row r="59" spans="1:6">
      <c r="A59" s="328" t="s">
        <v>753</v>
      </c>
      <c r="B59" s="313">
        <v>729933</v>
      </c>
      <c r="C59" s="313">
        <v>751124</v>
      </c>
      <c r="D59" s="313">
        <v>773009</v>
      </c>
      <c r="E59" s="313">
        <v>795708</v>
      </c>
      <c r="F59" s="314">
        <v>819297</v>
      </c>
    </row>
    <row r="60" spans="1:6">
      <c r="A60" s="280" t="s">
        <v>684</v>
      </c>
      <c r="B60" s="225">
        <v>216061</v>
      </c>
      <c r="C60" s="225">
        <v>222773</v>
      </c>
      <c r="D60" s="225">
        <v>229728</v>
      </c>
      <c r="E60" s="225">
        <v>236978</v>
      </c>
      <c r="F60" s="233">
        <v>244537</v>
      </c>
    </row>
    <row r="61" spans="1:6">
      <c r="A61" s="328" t="s">
        <v>755</v>
      </c>
      <c r="B61" s="313">
        <v>172490</v>
      </c>
      <c r="C61" s="313">
        <v>177231</v>
      </c>
      <c r="D61" s="313">
        <v>182110</v>
      </c>
      <c r="E61" s="313">
        <v>187137</v>
      </c>
      <c r="F61" s="314">
        <v>192307</v>
      </c>
    </row>
    <row r="62" spans="1:6" ht="15.75" thickBot="1">
      <c r="A62" s="280" t="s">
        <v>697</v>
      </c>
      <c r="B62" s="225">
        <v>134320</v>
      </c>
      <c r="C62" s="225">
        <v>145264</v>
      </c>
      <c r="D62" s="225">
        <v>156791</v>
      </c>
      <c r="E62" s="225">
        <v>168928</v>
      </c>
      <c r="F62" s="233">
        <v>181690</v>
      </c>
    </row>
    <row r="63" spans="1:6">
      <c r="A63" s="326" t="s">
        <v>685</v>
      </c>
      <c r="B63" s="320">
        <f>+SUM(B64:B78)</f>
        <v>5861875</v>
      </c>
      <c r="C63" s="320">
        <f>+SUM(C64:C78)</f>
        <v>6021156</v>
      </c>
      <c r="D63" s="320">
        <f>+SUM(D64:D78)</f>
        <v>6183811</v>
      </c>
      <c r="E63" s="320">
        <f>+SUM(E64:E78)</f>
        <v>6351432</v>
      </c>
      <c r="F63" s="321">
        <f>+SUM(F64:F78)</f>
        <v>6534896</v>
      </c>
    </row>
    <row r="64" spans="1:6">
      <c r="A64" s="280" t="s">
        <v>686</v>
      </c>
      <c r="B64" s="225">
        <v>318174</v>
      </c>
      <c r="C64" s="225">
        <v>328144</v>
      </c>
      <c r="D64" s="225">
        <v>338430</v>
      </c>
      <c r="E64" s="225">
        <v>349121</v>
      </c>
      <c r="F64" s="233">
        <v>360252</v>
      </c>
    </row>
    <row r="65" spans="1:6">
      <c r="A65" s="280" t="s">
        <v>687</v>
      </c>
      <c r="B65" s="225">
        <v>341635</v>
      </c>
      <c r="C65" s="225">
        <v>349176</v>
      </c>
      <c r="D65" s="225">
        <v>356836</v>
      </c>
      <c r="E65" s="225">
        <v>364708</v>
      </c>
      <c r="F65" s="233">
        <v>372843</v>
      </c>
    </row>
    <row r="66" spans="1:6">
      <c r="A66" s="280" t="s">
        <v>688</v>
      </c>
      <c r="B66" s="225">
        <v>435797</v>
      </c>
      <c r="C66" s="225">
        <v>448657</v>
      </c>
      <c r="D66" s="225">
        <v>461705</v>
      </c>
      <c r="E66" s="225">
        <v>475140</v>
      </c>
      <c r="F66" s="233">
        <v>489030</v>
      </c>
    </row>
    <row r="67" spans="1:6">
      <c r="A67" s="280" t="s">
        <v>689</v>
      </c>
      <c r="B67" s="225">
        <v>289322</v>
      </c>
      <c r="C67" s="225">
        <v>293471</v>
      </c>
      <c r="D67" s="225">
        <v>297529</v>
      </c>
      <c r="E67" s="225">
        <v>301586</v>
      </c>
      <c r="F67" s="233">
        <v>305692</v>
      </c>
    </row>
    <row r="68" spans="1:6">
      <c r="A68" s="280" t="s">
        <v>690</v>
      </c>
      <c r="B68" s="225">
        <v>491895</v>
      </c>
      <c r="C68" s="225">
        <v>506974</v>
      </c>
      <c r="D68" s="225">
        <v>522422</v>
      </c>
      <c r="E68" s="225">
        <v>538345</v>
      </c>
      <c r="F68" s="233">
        <v>554840</v>
      </c>
    </row>
    <row r="69" spans="1:6">
      <c r="A69" s="280" t="s">
        <v>691</v>
      </c>
      <c r="B69" s="225">
        <v>799196</v>
      </c>
      <c r="C69" s="225">
        <v>827018</v>
      </c>
      <c r="D69" s="225">
        <v>855663</v>
      </c>
      <c r="E69" s="225">
        <v>885355</v>
      </c>
      <c r="F69" s="233">
        <v>916274</v>
      </c>
    </row>
    <row r="70" spans="1:6">
      <c r="A70" s="280" t="s">
        <v>692</v>
      </c>
      <c r="B70" s="225">
        <v>522795</v>
      </c>
      <c r="C70" s="225">
        <v>529924</v>
      </c>
      <c r="D70" s="225">
        <v>536846</v>
      </c>
      <c r="E70" s="225">
        <v>543745</v>
      </c>
      <c r="F70" s="233">
        <v>550721</v>
      </c>
    </row>
    <row r="71" spans="1:6">
      <c r="A71" s="280" t="s">
        <v>693</v>
      </c>
      <c r="B71" s="225">
        <v>93194</v>
      </c>
      <c r="C71" s="225">
        <v>94798</v>
      </c>
      <c r="D71" s="225">
        <v>96344</v>
      </c>
      <c r="E71" s="225">
        <v>97883</v>
      </c>
      <c r="F71" s="233">
        <v>99434</v>
      </c>
    </row>
    <row r="72" spans="1:6">
      <c r="A72" s="280" t="s">
        <v>694</v>
      </c>
      <c r="B72" s="225">
        <v>238741</v>
      </c>
      <c r="C72" s="225">
        <v>244468</v>
      </c>
      <c r="D72" s="225">
        <v>250159</v>
      </c>
      <c r="E72" s="225">
        <v>255995</v>
      </c>
      <c r="F72" s="233">
        <v>262035</v>
      </c>
    </row>
    <row r="73" spans="1:6">
      <c r="A73" s="280" t="s">
        <v>695</v>
      </c>
      <c r="B73" s="225">
        <v>576655</v>
      </c>
      <c r="C73" s="225">
        <v>585185</v>
      </c>
      <c r="D73" s="225">
        <v>593992</v>
      </c>
      <c r="E73" s="225">
        <v>603129</v>
      </c>
      <c r="F73" s="233">
        <v>622636</v>
      </c>
    </row>
    <row r="74" spans="1:6">
      <c r="A74" s="280" t="s">
        <v>696</v>
      </c>
      <c r="B74" s="225">
        <v>313969</v>
      </c>
      <c r="C74" s="225">
        <v>321967</v>
      </c>
      <c r="D74" s="225">
        <v>330021</v>
      </c>
      <c r="E74" s="225">
        <v>338219</v>
      </c>
      <c r="F74" s="233">
        <v>346639</v>
      </c>
    </row>
    <row r="75" spans="1:6">
      <c r="A75" s="280" t="s">
        <v>700</v>
      </c>
      <c r="B75" s="225">
        <v>581370</v>
      </c>
      <c r="C75" s="225">
        <v>592238</v>
      </c>
      <c r="D75" s="225">
        <v>603176</v>
      </c>
      <c r="E75" s="225">
        <v>614268</v>
      </c>
      <c r="F75" s="233">
        <v>625580</v>
      </c>
    </row>
    <row r="76" spans="1:6">
      <c r="A76" s="329" t="s">
        <v>699</v>
      </c>
      <c r="B76" s="225">
        <v>107602</v>
      </c>
      <c r="C76" s="225">
        <v>112938</v>
      </c>
      <c r="D76" s="225">
        <v>118542</v>
      </c>
      <c r="E76" s="225">
        <v>124430</v>
      </c>
      <c r="F76" s="233">
        <v>130611</v>
      </c>
    </row>
    <row r="77" spans="1:6">
      <c r="A77" s="329" t="s">
        <v>701</v>
      </c>
      <c r="B77" s="225">
        <v>88543</v>
      </c>
      <c r="C77" s="225">
        <v>94655</v>
      </c>
      <c r="D77" s="225">
        <v>101083</v>
      </c>
      <c r="E77" s="225">
        <v>107866</v>
      </c>
      <c r="F77" s="233">
        <v>115013</v>
      </c>
    </row>
    <row r="78" spans="1:6" ht="15.75" thickBot="1">
      <c r="A78" s="330" t="s">
        <v>702</v>
      </c>
      <c r="B78" s="322">
        <v>662987</v>
      </c>
      <c r="C78" s="322">
        <v>691543</v>
      </c>
      <c r="D78" s="322">
        <v>721063</v>
      </c>
      <c r="E78" s="322">
        <v>751642</v>
      </c>
      <c r="F78" s="323">
        <v>783296</v>
      </c>
    </row>
    <row r="79" spans="1:6" ht="15.75" thickBot="1">
      <c r="A79" s="278" t="s">
        <v>33</v>
      </c>
      <c r="B79" s="318">
        <f>+B63+B55+B44</f>
        <v>13102076</v>
      </c>
      <c r="C79" s="318">
        <f>+C63+C55+C44</f>
        <v>13520109</v>
      </c>
      <c r="D79" s="318">
        <f>+D63+D55+D44</f>
        <v>13655494</v>
      </c>
      <c r="E79" s="318">
        <f>+E63+E55+E44</f>
        <v>14388549</v>
      </c>
      <c r="F79" s="319">
        <f>+F63+F55+F44</f>
        <v>14754781</v>
      </c>
    </row>
    <row r="80" spans="1:6" ht="95.25" customHeight="1" thickBot="1">
      <c r="A80" s="1755" t="s">
        <v>758</v>
      </c>
      <c r="B80" s="1756"/>
      <c r="C80" s="1756"/>
      <c r="D80" s="1756"/>
      <c r="E80" s="1756"/>
      <c r="F80" s="1757"/>
    </row>
    <row r="81" spans="1:6" ht="27.95" customHeight="1" thickBot="1">
      <c r="A81" s="1827" t="s">
        <v>759</v>
      </c>
      <c r="B81" s="1719"/>
      <c r="C81" s="1719"/>
      <c r="D81" s="1719"/>
      <c r="E81" s="1719"/>
      <c r="F81" s="1712"/>
    </row>
  </sheetData>
  <mergeCells count="4">
    <mergeCell ref="A10:E10"/>
    <mergeCell ref="A80:F80"/>
    <mergeCell ref="A81:F81"/>
    <mergeCell ref="G4:I10"/>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tint="-0.499984740745262"/>
  </sheetPr>
  <dimension ref="A1:J231"/>
  <sheetViews>
    <sheetView workbookViewId="0"/>
  </sheetViews>
  <sheetFormatPr defaultColWidth="11.42578125" defaultRowHeight="15"/>
  <sheetData>
    <row r="1" spans="1:10" ht="24.75">
      <c r="A1" s="1272" t="s">
        <v>1664</v>
      </c>
      <c r="B1" s="1273"/>
      <c r="C1" s="1273"/>
    </row>
    <row r="3" spans="1:10">
      <c r="A3" t="s">
        <v>278</v>
      </c>
    </row>
    <row r="4" spans="1:10">
      <c r="A4" s="116">
        <v>36935</v>
      </c>
      <c r="B4" s="116">
        <v>46796</v>
      </c>
      <c r="C4" s="117" t="s">
        <v>279</v>
      </c>
      <c r="D4" s="118">
        <v>472566000</v>
      </c>
      <c r="E4" s="117" t="s">
        <v>280</v>
      </c>
      <c r="F4" s="119">
        <v>1354100</v>
      </c>
      <c r="G4" t="s">
        <v>281</v>
      </c>
      <c r="H4" s="120">
        <f>+D4/F4</f>
        <v>348.98899638136032</v>
      </c>
    </row>
    <row r="5" spans="1:10">
      <c r="A5" s="116">
        <v>36904</v>
      </c>
      <c r="B5" s="116">
        <v>11336</v>
      </c>
      <c r="C5" s="117" t="s">
        <v>279</v>
      </c>
      <c r="D5" s="118">
        <v>439917000</v>
      </c>
      <c r="E5" s="117" t="s">
        <v>280</v>
      </c>
      <c r="F5" s="119">
        <v>1318300</v>
      </c>
      <c r="G5" t="s">
        <v>281</v>
      </c>
      <c r="H5" s="120">
        <f t="shared" ref="H5:H68" si="0">+D5/F5</f>
        <v>333.70021998027761</v>
      </c>
    </row>
    <row r="6" spans="1:10">
      <c r="A6" s="116">
        <v>37237</v>
      </c>
      <c r="B6" s="116">
        <v>11669</v>
      </c>
      <c r="C6" s="117" t="s">
        <v>279</v>
      </c>
      <c r="D6" s="118">
        <v>421933000</v>
      </c>
      <c r="E6" s="117" t="s">
        <v>280</v>
      </c>
      <c r="F6" s="119">
        <v>1299400</v>
      </c>
      <c r="G6" t="s">
        <v>281</v>
      </c>
      <c r="H6" s="120">
        <f t="shared" si="0"/>
        <v>324.71371402185622</v>
      </c>
      <c r="I6" s="120">
        <f>+AVERAGE(H6:H17)</f>
        <v>238.71213485538496</v>
      </c>
      <c r="J6">
        <v>2012</v>
      </c>
    </row>
    <row r="7" spans="1:10">
      <c r="A7" s="116">
        <v>37207</v>
      </c>
      <c r="B7" s="116">
        <v>11274</v>
      </c>
      <c r="C7" s="117" t="s">
        <v>279</v>
      </c>
      <c r="D7" s="118">
        <v>404926000</v>
      </c>
      <c r="E7" s="117" t="s">
        <v>280</v>
      </c>
      <c r="F7" s="119">
        <v>1296200</v>
      </c>
      <c r="G7" t="s">
        <v>281</v>
      </c>
      <c r="H7" s="120">
        <f t="shared" si="0"/>
        <v>312.39469217713315</v>
      </c>
    </row>
    <row r="8" spans="1:10">
      <c r="A8" s="116">
        <v>37176</v>
      </c>
      <c r="B8" s="116">
        <v>11608</v>
      </c>
      <c r="C8" s="117" t="s">
        <v>279</v>
      </c>
      <c r="D8" s="118">
        <v>382737000</v>
      </c>
      <c r="E8" s="117" t="s">
        <v>280</v>
      </c>
      <c r="F8" s="119">
        <v>1287400</v>
      </c>
      <c r="G8" t="s">
        <v>281</v>
      </c>
      <c r="H8" s="120">
        <f t="shared" si="0"/>
        <v>297.29454714929312</v>
      </c>
    </row>
    <row r="9" spans="1:10">
      <c r="A9" s="116">
        <v>37146</v>
      </c>
      <c r="B9" s="116">
        <v>11213</v>
      </c>
      <c r="C9" s="117" t="s">
        <v>279</v>
      </c>
      <c r="D9" s="118">
        <v>351853000</v>
      </c>
      <c r="E9" s="117" t="s">
        <v>280</v>
      </c>
      <c r="F9" s="119">
        <v>1254400</v>
      </c>
      <c r="G9" t="s">
        <v>281</v>
      </c>
      <c r="H9" s="120">
        <f t="shared" si="0"/>
        <v>280.49505739795916</v>
      </c>
    </row>
    <row r="10" spans="1:10">
      <c r="A10" s="116">
        <v>37115</v>
      </c>
      <c r="B10" s="116">
        <v>11547</v>
      </c>
      <c r="C10" s="117" t="s">
        <v>279</v>
      </c>
      <c r="D10" s="118">
        <v>337849000</v>
      </c>
      <c r="E10" s="117" t="s">
        <v>280</v>
      </c>
      <c r="F10" s="119">
        <v>1224600</v>
      </c>
      <c r="G10" t="s">
        <v>281</v>
      </c>
      <c r="H10" s="120">
        <f t="shared" si="0"/>
        <v>275.88518699983666</v>
      </c>
    </row>
    <row r="11" spans="1:10">
      <c r="A11" s="116">
        <v>37084</v>
      </c>
      <c r="B11" s="116">
        <v>11516</v>
      </c>
      <c r="C11" s="117" t="s">
        <v>279</v>
      </c>
      <c r="D11" s="118">
        <v>339388000</v>
      </c>
      <c r="E11" s="117" t="s">
        <v>280</v>
      </c>
      <c r="F11" s="119">
        <v>1241800</v>
      </c>
      <c r="G11" t="s">
        <v>281</v>
      </c>
      <c r="H11" s="120">
        <f t="shared" si="0"/>
        <v>273.3032694475761</v>
      </c>
    </row>
    <row r="12" spans="1:10">
      <c r="A12" s="116">
        <v>37054</v>
      </c>
      <c r="B12" s="116">
        <v>11121</v>
      </c>
      <c r="C12" s="117" t="s">
        <v>279</v>
      </c>
      <c r="D12" s="118">
        <v>334572000</v>
      </c>
      <c r="E12" s="117" t="s">
        <v>280</v>
      </c>
      <c r="F12" s="119">
        <v>1243800</v>
      </c>
      <c r="G12" t="s">
        <v>281</v>
      </c>
      <c r="H12" s="120">
        <f t="shared" si="0"/>
        <v>268.99179932465029</v>
      </c>
    </row>
    <row r="13" spans="1:10">
      <c r="A13" s="116">
        <v>37023</v>
      </c>
      <c r="B13" s="116">
        <v>11455</v>
      </c>
      <c r="C13" s="117" t="s">
        <v>279</v>
      </c>
      <c r="D13" s="118">
        <v>218363000</v>
      </c>
      <c r="E13" s="117" t="s">
        <v>280</v>
      </c>
      <c r="F13" s="119">
        <v>1322900</v>
      </c>
      <c r="G13" t="s">
        <v>281</v>
      </c>
      <c r="H13" s="120">
        <f t="shared" si="0"/>
        <v>165.06387482047018</v>
      </c>
    </row>
    <row r="14" spans="1:10">
      <c r="A14" s="116">
        <v>36993</v>
      </c>
      <c r="B14" s="116">
        <v>11060</v>
      </c>
      <c r="C14" s="117" t="s">
        <v>279</v>
      </c>
      <c r="D14" s="118">
        <v>226041000</v>
      </c>
      <c r="E14" s="117" t="s">
        <v>280</v>
      </c>
      <c r="F14" s="119">
        <v>1327200</v>
      </c>
      <c r="G14" t="s">
        <v>281</v>
      </c>
      <c r="H14" s="120">
        <f t="shared" si="0"/>
        <v>170.31419529837251</v>
      </c>
    </row>
    <row r="15" spans="1:10">
      <c r="A15" s="116">
        <v>36962</v>
      </c>
      <c r="B15" s="116">
        <v>11394</v>
      </c>
      <c r="C15" s="117" t="s">
        <v>279</v>
      </c>
      <c r="D15" s="118">
        <v>221797000</v>
      </c>
      <c r="E15" s="117" t="s">
        <v>280</v>
      </c>
      <c r="F15" s="119">
        <v>1345400</v>
      </c>
      <c r="G15" t="s">
        <v>281</v>
      </c>
      <c r="H15" s="120">
        <f t="shared" si="0"/>
        <v>164.85580496506614</v>
      </c>
    </row>
    <row r="16" spans="1:10">
      <c r="A16" s="116">
        <v>36934</v>
      </c>
      <c r="B16" s="116">
        <v>47161</v>
      </c>
      <c r="C16" s="117" t="s">
        <v>279</v>
      </c>
      <c r="D16" s="118">
        <v>217304000</v>
      </c>
      <c r="E16" s="117" t="s">
        <v>280</v>
      </c>
      <c r="F16" s="119">
        <v>1311000</v>
      </c>
      <c r="G16" t="s">
        <v>281</v>
      </c>
      <c r="H16" s="120">
        <f t="shared" si="0"/>
        <v>165.75438596491227</v>
      </c>
    </row>
    <row r="17" spans="1:10">
      <c r="A17" s="116">
        <v>36903</v>
      </c>
      <c r="B17" s="116">
        <v>11335</v>
      </c>
      <c r="C17" s="117" t="s">
        <v>279</v>
      </c>
      <c r="D17" s="118">
        <v>213286000</v>
      </c>
      <c r="E17" s="117" t="s">
        <v>280</v>
      </c>
      <c r="F17" s="119">
        <v>1288900</v>
      </c>
      <c r="G17" t="s">
        <v>281</v>
      </c>
      <c r="H17" s="120">
        <f t="shared" si="0"/>
        <v>165.47909069749397</v>
      </c>
    </row>
    <row r="18" spans="1:10">
      <c r="A18" s="116">
        <v>37236</v>
      </c>
      <c r="B18" s="116">
        <v>11668</v>
      </c>
      <c r="C18" s="117" t="s">
        <v>279</v>
      </c>
      <c r="D18" s="118">
        <v>220999000</v>
      </c>
      <c r="E18" s="117" t="s">
        <v>280</v>
      </c>
      <c r="F18" s="119">
        <v>1333600</v>
      </c>
      <c r="G18" t="s">
        <v>281</v>
      </c>
      <c r="H18" s="120">
        <f t="shared" si="0"/>
        <v>165.71610677864427</v>
      </c>
      <c r="I18" s="120">
        <f>+AVERAGE(H18:H29)</f>
        <v>154.70994614648365</v>
      </c>
      <c r="J18">
        <f>J6-1</f>
        <v>2011</v>
      </c>
    </row>
    <row r="19" spans="1:10">
      <c r="A19" s="116">
        <v>37206</v>
      </c>
      <c r="B19" s="116">
        <v>11273</v>
      </c>
      <c r="C19" s="117" t="s">
        <v>279</v>
      </c>
      <c r="D19" s="118">
        <v>232020000</v>
      </c>
      <c r="E19" s="117" t="s">
        <v>280</v>
      </c>
      <c r="F19" s="119">
        <v>1416000</v>
      </c>
      <c r="G19" t="s">
        <v>281</v>
      </c>
      <c r="H19" s="120">
        <f t="shared" si="0"/>
        <v>163.85593220338984</v>
      </c>
    </row>
    <row r="20" spans="1:10">
      <c r="A20" s="116">
        <v>37175</v>
      </c>
      <c r="B20" s="116">
        <v>11607</v>
      </c>
      <c r="C20" s="117" t="s">
        <v>279</v>
      </c>
      <c r="D20" s="118">
        <v>220946000</v>
      </c>
      <c r="E20" s="117" t="s">
        <v>280</v>
      </c>
      <c r="F20" s="119">
        <v>1361500</v>
      </c>
      <c r="G20" t="s">
        <v>281</v>
      </c>
      <c r="H20" s="120">
        <f t="shared" si="0"/>
        <v>162.28130738156446</v>
      </c>
    </row>
    <row r="21" spans="1:10">
      <c r="A21" s="116">
        <v>37145</v>
      </c>
      <c r="B21" s="116">
        <v>11212</v>
      </c>
      <c r="C21" s="117" t="s">
        <v>279</v>
      </c>
      <c r="D21" s="118">
        <v>239794000</v>
      </c>
      <c r="E21" s="117" t="s">
        <v>280</v>
      </c>
      <c r="F21" s="119">
        <v>1440200</v>
      </c>
      <c r="G21" t="s">
        <v>281</v>
      </c>
      <c r="H21" s="120">
        <f t="shared" si="0"/>
        <v>166.50048604360506</v>
      </c>
    </row>
    <row r="22" spans="1:10">
      <c r="A22" s="116">
        <v>37114</v>
      </c>
      <c r="B22" s="116">
        <v>11546</v>
      </c>
      <c r="C22" s="117" t="s">
        <v>279</v>
      </c>
      <c r="D22" s="118">
        <v>217528000</v>
      </c>
      <c r="E22" s="117" t="s">
        <v>280</v>
      </c>
      <c r="F22" s="119">
        <v>1426000</v>
      </c>
      <c r="G22" t="s">
        <v>281</v>
      </c>
      <c r="H22" s="120">
        <f t="shared" si="0"/>
        <v>152.54417952314165</v>
      </c>
    </row>
    <row r="23" spans="1:10">
      <c r="A23" s="116">
        <v>37083</v>
      </c>
      <c r="B23" s="116">
        <v>11515</v>
      </c>
      <c r="C23" s="117" t="s">
        <v>279</v>
      </c>
      <c r="D23" s="118">
        <v>216503000</v>
      </c>
      <c r="E23" s="117" t="s">
        <v>280</v>
      </c>
      <c r="F23" s="119">
        <v>1442500</v>
      </c>
      <c r="G23" t="s">
        <v>281</v>
      </c>
      <c r="H23" s="120">
        <f t="shared" si="0"/>
        <v>150.0887348353553</v>
      </c>
    </row>
    <row r="24" spans="1:10">
      <c r="A24" s="116">
        <v>37053</v>
      </c>
      <c r="B24" s="116">
        <v>11120</v>
      </c>
      <c r="C24" s="117" t="s">
        <v>279</v>
      </c>
      <c r="D24" s="118">
        <v>211837000</v>
      </c>
      <c r="E24" s="117" t="s">
        <v>280</v>
      </c>
      <c r="F24" s="119">
        <v>1427200</v>
      </c>
      <c r="G24" t="s">
        <v>281</v>
      </c>
      <c r="H24" s="120">
        <f t="shared" si="0"/>
        <v>148.42839125560539</v>
      </c>
    </row>
    <row r="25" spans="1:10">
      <c r="A25" s="116">
        <v>37022</v>
      </c>
      <c r="B25" s="116">
        <v>11454</v>
      </c>
      <c r="C25" s="117" t="s">
        <v>279</v>
      </c>
      <c r="D25" s="118">
        <v>216173000</v>
      </c>
      <c r="E25" s="117" t="s">
        <v>280</v>
      </c>
      <c r="F25" s="119">
        <v>1479400</v>
      </c>
      <c r="G25" t="s">
        <v>281</v>
      </c>
      <c r="H25" s="120">
        <f t="shared" si="0"/>
        <v>146.12207651750711</v>
      </c>
    </row>
    <row r="26" spans="1:10">
      <c r="A26" s="116">
        <v>36992</v>
      </c>
      <c r="B26" s="116">
        <v>11059</v>
      </c>
      <c r="C26" s="117" t="s">
        <v>279</v>
      </c>
      <c r="D26" s="118">
        <v>212448000</v>
      </c>
      <c r="E26" s="117" t="s">
        <v>280</v>
      </c>
      <c r="F26" s="119">
        <v>1409000</v>
      </c>
      <c r="G26" t="s">
        <v>281</v>
      </c>
      <c r="H26" s="120">
        <f t="shared" si="0"/>
        <v>150.7792760823279</v>
      </c>
    </row>
    <row r="27" spans="1:10">
      <c r="A27" s="116">
        <v>36961</v>
      </c>
      <c r="B27" s="116">
        <v>11393</v>
      </c>
      <c r="C27" s="117" t="s">
        <v>279</v>
      </c>
      <c r="D27" s="118">
        <v>206627000</v>
      </c>
      <c r="E27" s="117" t="s">
        <v>280</v>
      </c>
      <c r="F27" s="119">
        <v>1376200</v>
      </c>
      <c r="G27" t="s">
        <v>281</v>
      </c>
      <c r="H27" s="120">
        <f t="shared" si="0"/>
        <v>150.14314779828513</v>
      </c>
    </row>
    <row r="28" spans="1:10">
      <c r="A28" s="116">
        <v>36933</v>
      </c>
      <c r="B28" s="116">
        <v>46794</v>
      </c>
      <c r="C28" s="117" t="s">
        <v>279</v>
      </c>
      <c r="D28" s="118">
        <v>205194000</v>
      </c>
      <c r="E28" s="117" t="s">
        <v>280</v>
      </c>
      <c r="F28" s="119">
        <v>1371000</v>
      </c>
      <c r="G28" t="s">
        <v>281</v>
      </c>
      <c r="H28" s="120">
        <f t="shared" si="0"/>
        <v>149.66739606126916</v>
      </c>
    </row>
    <row r="29" spans="1:10">
      <c r="A29" s="116">
        <v>36902</v>
      </c>
      <c r="B29" s="116">
        <v>11334</v>
      </c>
      <c r="C29" s="117" t="s">
        <v>279</v>
      </c>
      <c r="D29" s="118">
        <v>199721000</v>
      </c>
      <c r="E29" s="117" t="s">
        <v>280</v>
      </c>
      <c r="F29" s="119">
        <v>1328000</v>
      </c>
      <c r="G29" t="s">
        <v>281</v>
      </c>
      <c r="H29" s="120">
        <f t="shared" si="0"/>
        <v>150.39231927710844</v>
      </c>
    </row>
    <row r="30" spans="1:10">
      <c r="A30" s="116">
        <v>37235</v>
      </c>
      <c r="B30" s="116">
        <v>11667</v>
      </c>
      <c r="C30" s="117" t="s">
        <v>279</v>
      </c>
      <c r="D30" s="118">
        <v>206099000</v>
      </c>
      <c r="E30" s="117" t="s">
        <v>280</v>
      </c>
      <c r="F30" s="119">
        <v>1314600</v>
      </c>
      <c r="G30" t="s">
        <v>281</v>
      </c>
      <c r="H30" s="120">
        <f t="shared" si="0"/>
        <v>156.77696637760536</v>
      </c>
      <c r="I30" s="120">
        <f>+AVERAGE(H30:H41)</f>
        <v>150.38964317217463</v>
      </c>
      <c r="J30">
        <f>J18-1</f>
        <v>2010</v>
      </c>
    </row>
    <row r="31" spans="1:10" ht="15.75">
      <c r="A31" s="116">
        <v>37205</v>
      </c>
      <c r="B31" s="116">
        <v>11272</v>
      </c>
      <c r="C31" s="117" t="s">
        <v>279</v>
      </c>
      <c r="D31" s="118">
        <v>210804000</v>
      </c>
      <c r="E31" s="117" t="s">
        <v>280</v>
      </c>
      <c r="F31" s="119">
        <v>1385700</v>
      </c>
      <c r="G31" t="s">
        <v>281</v>
      </c>
      <c r="H31" s="120">
        <f t="shared" si="0"/>
        <v>152.12816626975535</v>
      </c>
      <c r="I31" s="121"/>
    </row>
    <row r="32" spans="1:10" ht="15.75">
      <c r="A32" s="116">
        <v>37174</v>
      </c>
      <c r="B32" s="116">
        <v>11606</v>
      </c>
      <c r="C32" s="117" t="s">
        <v>279</v>
      </c>
      <c r="D32" s="118">
        <v>201409000</v>
      </c>
      <c r="E32" s="117" t="s">
        <v>280</v>
      </c>
      <c r="F32" s="119">
        <v>1361100</v>
      </c>
      <c r="G32" t="s">
        <v>281</v>
      </c>
      <c r="H32" s="120">
        <f t="shared" si="0"/>
        <v>147.97516714422159</v>
      </c>
      <c r="I32" s="121"/>
    </row>
    <row r="33" spans="1:10" ht="15.75">
      <c r="A33" s="116">
        <v>37144</v>
      </c>
      <c r="B33" s="116">
        <v>11211</v>
      </c>
      <c r="C33" s="117" t="s">
        <v>279</v>
      </c>
      <c r="D33" s="118">
        <v>191095000</v>
      </c>
      <c r="E33" s="117" t="s">
        <v>280</v>
      </c>
      <c r="F33" s="119">
        <v>1270000</v>
      </c>
      <c r="G33" t="s">
        <v>281</v>
      </c>
      <c r="H33" s="120">
        <f t="shared" si="0"/>
        <v>150.46850393700788</v>
      </c>
      <c r="I33" s="121"/>
    </row>
    <row r="34" spans="1:10" ht="15.75">
      <c r="A34" s="116">
        <v>37113</v>
      </c>
      <c r="B34" s="116">
        <v>11545</v>
      </c>
      <c r="C34" s="117" t="s">
        <v>279</v>
      </c>
      <c r="D34" s="118">
        <v>194713000</v>
      </c>
      <c r="E34" s="117" t="s">
        <v>280</v>
      </c>
      <c r="F34" s="119">
        <v>1306900</v>
      </c>
      <c r="G34" t="s">
        <v>281</v>
      </c>
      <c r="H34" s="120">
        <f t="shared" si="0"/>
        <v>148.98844594077588</v>
      </c>
      <c r="I34" s="121"/>
    </row>
    <row r="35" spans="1:10" ht="15.75">
      <c r="A35" s="116">
        <v>37082</v>
      </c>
      <c r="B35" s="116">
        <v>11514</v>
      </c>
      <c r="C35" s="117" t="s">
        <v>279</v>
      </c>
      <c r="D35" s="118">
        <v>184836000</v>
      </c>
      <c r="E35" s="117" t="s">
        <v>280</v>
      </c>
      <c r="F35" s="119">
        <v>1219800</v>
      </c>
      <c r="G35" t="s">
        <v>281</v>
      </c>
      <c r="H35" s="120">
        <f t="shared" si="0"/>
        <v>151.52975897688145</v>
      </c>
      <c r="I35" s="121"/>
    </row>
    <row r="36" spans="1:10" ht="15.75">
      <c r="A36" s="116">
        <v>37052</v>
      </c>
      <c r="B36" s="116">
        <v>11119</v>
      </c>
      <c r="C36" s="117" t="s">
        <v>279</v>
      </c>
      <c r="D36" s="118">
        <v>187204000</v>
      </c>
      <c r="E36" s="117" t="s">
        <v>280</v>
      </c>
      <c r="F36" s="119">
        <v>1238400</v>
      </c>
      <c r="G36" t="s">
        <v>281</v>
      </c>
      <c r="H36" s="120">
        <f t="shared" si="0"/>
        <v>151.16602067183462</v>
      </c>
      <c r="I36" s="121"/>
    </row>
    <row r="37" spans="1:10" ht="15.75">
      <c r="A37" s="116">
        <v>37021</v>
      </c>
      <c r="B37" s="116">
        <v>11453</v>
      </c>
      <c r="C37" s="117" t="s">
        <v>279</v>
      </c>
      <c r="D37" s="118">
        <v>199630000</v>
      </c>
      <c r="E37" s="117" t="s">
        <v>280</v>
      </c>
      <c r="F37" s="119">
        <v>1325600</v>
      </c>
      <c r="G37" t="s">
        <v>281</v>
      </c>
      <c r="H37" s="120">
        <f t="shared" si="0"/>
        <v>150.59595654797826</v>
      </c>
      <c r="I37" s="121"/>
    </row>
    <row r="38" spans="1:10" ht="15.75">
      <c r="A38" s="116">
        <v>36991</v>
      </c>
      <c r="B38" s="116">
        <v>11058</v>
      </c>
      <c r="C38" s="117" t="s">
        <v>279</v>
      </c>
      <c r="D38" s="118">
        <v>201243000</v>
      </c>
      <c r="E38" s="117" t="s">
        <v>280</v>
      </c>
      <c r="F38" s="119">
        <v>1348200</v>
      </c>
      <c r="G38" t="s">
        <v>281</v>
      </c>
      <c r="H38" s="120">
        <f t="shared" si="0"/>
        <v>149.26791277258567</v>
      </c>
      <c r="I38" s="121"/>
    </row>
    <row r="39" spans="1:10" ht="15.75">
      <c r="A39" s="116">
        <v>36960</v>
      </c>
      <c r="B39" s="116">
        <v>11392</v>
      </c>
      <c r="C39" s="117" t="s">
        <v>279</v>
      </c>
      <c r="D39" s="118">
        <v>205737000</v>
      </c>
      <c r="E39" s="117" t="s">
        <v>280</v>
      </c>
      <c r="F39" s="119">
        <v>1348900</v>
      </c>
      <c r="G39" t="s">
        <v>281</v>
      </c>
      <c r="H39" s="120">
        <f t="shared" si="0"/>
        <v>152.52205500778413</v>
      </c>
      <c r="I39" s="121"/>
    </row>
    <row r="40" spans="1:10" ht="15.75">
      <c r="A40" s="116">
        <v>36932</v>
      </c>
      <c r="B40" s="116">
        <v>46793</v>
      </c>
      <c r="C40" s="117" t="s">
        <v>279</v>
      </c>
      <c r="D40" s="118">
        <v>206415000</v>
      </c>
      <c r="E40" s="117" t="s">
        <v>280</v>
      </c>
      <c r="F40" s="119">
        <v>1399900</v>
      </c>
      <c r="G40" t="s">
        <v>281</v>
      </c>
      <c r="H40" s="120">
        <f t="shared" si="0"/>
        <v>147.44981784413173</v>
      </c>
      <c r="I40" s="121"/>
    </row>
    <row r="41" spans="1:10" ht="15.75">
      <c r="A41" s="116">
        <v>36901</v>
      </c>
      <c r="B41" s="116">
        <v>11333</v>
      </c>
      <c r="C41" s="117" t="s">
        <v>279</v>
      </c>
      <c r="D41" s="118">
        <v>209058000</v>
      </c>
      <c r="E41" s="117" t="s">
        <v>280</v>
      </c>
      <c r="F41" s="119">
        <v>1433800</v>
      </c>
      <c r="G41" t="s">
        <v>281</v>
      </c>
      <c r="H41" s="120">
        <f t="shared" si="0"/>
        <v>145.80694657553354</v>
      </c>
      <c r="I41" s="121"/>
    </row>
    <row r="42" spans="1:10">
      <c r="A42" s="116">
        <v>37234</v>
      </c>
      <c r="B42" s="116">
        <v>11666</v>
      </c>
      <c r="C42" s="117" t="s">
        <v>279</v>
      </c>
      <c r="D42" s="118">
        <v>213936000</v>
      </c>
      <c r="E42" s="117" t="s">
        <v>280</v>
      </c>
      <c r="F42" s="119">
        <v>1491800</v>
      </c>
      <c r="G42" t="s">
        <v>281</v>
      </c>
      <c r="H42" s="120">
        <f t="shared" si="0"/>
        <v>143.40796353398579</v>
      </c>
      <c r="I42" s="120">
        <f>+AVERAGE(H42:H53)</f>
        <v>141.68872289304244</v>
      </c>
      <c r="J42">
        <f>J30-1</f>
        <v>2009</v>
      </c>
    </row>
    <row r="43" spans="1:10" ht="15.75">
      <c r="A43" s="116">
        <v>37204</v>
      </c>
      <c r="B43" s="116">
        <v>11271</v>
      </c>
      <c r="C43" s="117" t="s">
        <v>279</v>
      </c>
      <c r="D43" s="118">
        <v>211133000</v>
      </c>
      <c r="E43" s="117" t="s">
        <v>280</v>
      </c>
      <c r="F43" s="119">
        <v>1478800</v>
      </c>
      <c r="G43" t="s">
        <v>281</v>
      </c>
      <c r="H43" s="120">
        <f t="shared" si="0"/>
        <v>142.77319448201243</v>
      </c>
      <c r="I43" s="121"/>
    </row>
    <row r="44" spans="1:10" ht="15.75">
      <c r="A44" s="116">
        <v>37173</v>
      </c>
      <c r="B44" s="116">
        <v>11605</v>
      </c>
      <c r="C44" s="117" t="s">
        <v>279</v>
      </c>
      <c r="D44" s="118">
        <v>207746000</v>
      </c>
      <c r="E44" s="117" t="s">
        <v>280</v>
      </c>
      <c r="F44" s="119">
        <v>1454900</v>
      </c>
      <c r="G44" t="s">
        <v>281</v>
      </c>
      <c r="H44" s="120">
        <f t="shared" si="0"/>
        <v>142.79056979861159</v>
      </c>
      <c r="I44" s="121"/>
    </row>
    <row r="45" spans="1:10" ht="15.75">
      <c r="A45" s="116">
        <v>37143</v>
      </c>
      <c r="B45" s="116">
        <v>11210</v>
      </c>
      <c r="C45" s="117" t="s">
        <v>279</v>
      </c>
      <c r="D45" s="118">
        <v>201446000</v>
      </c>
      <c r="E45" s="117" t="s">
        <v>280</v>
      </c>
      <c r="F45" s="119">
        <v>1436400</v>
      </c>
      <c r="G45" t="s">
        <v>281</v>
      </c>
      <c r="H45" s="120">
        <f t="shared" si="0"/>
        <v>140.24366471734893</v>
      </c>
      <c r="I45" s="121"/>
    </row>
    <row r="46" spans="1:10" ht="15.75">
      <c r="A46" s="116">
        <v>37112</v>
      </c>
      <c r="B46" s="116">
        <v>11544</v>
      </c>
      <c r="C46" s="117" t="s">
        <v>279</v>
      </c>
      <c r="D46" s="118">
        <v>200277000</v>
      </c>
      <c r="E46" s="117" t="s">
        <v>280</v>
      </c>
      <c r="F46" s="119">
        <v>1405300</v>
      </c>
      <c r="G46" t="s">
        <v>281</v>
      </c>
      <c r="H46" s="120">
        <f t="shared" si="0"/>
        <v>142.51547712232264</v>
      </c>
      <c r="I46" s="121"/>
    </row>
    <row r="47" spans="1:10" ht="15.75">
      <c r="A47" s="116">
        <v>37081</v>
      </c>
      <c r="B47" s="116">
        <v>11513</v>
      </c>
      <c r="C47" s="117" t="s">
        <v>279</v>
      </c>
      <c r="D47" s="118">
        <v>198154000</v>
      </c>
      <c r="E47" s="117" t="s">
        <v>280</v>
      </c>
      <c r="F47" s="119">
        <v>1405800</v>
      </c>
      <c r="G47" t="s">
        <v>281</v>
      </c>
      <c r="H47" s="120">
        <f t="shared" si="0"/>
        <v>140.95461658841941</v>
      </c>
      <c r="I47" s="121"/>
    </row>
    <row r="48" spans="1:10" ht="15.75">
      <c r="A48" s="116">
        <v>37051</v>
      </c>
      <c r="B48" s="116">
        <v>11118</v>
      </c>
      <c r="C48" s="117" t="s">
        <v>279</v>
      </c>
      <c r="D48" s="118">
        <v>196634000</v>
      </c>
      <c r="E48" s="117" t="s">
        <v>280</v>
      </c>
      <c r="F48" s="119">
        <v>1385600</v>
      </c>
      <c r="G48" t="s">
        <v>281</v>
      </c>
      <c r="H48" s="120">
        <f t="shared" si="0"/>
        <v>141.91252886836028</v>
      </c>
      <c r="I48" s="121"/>
    </row>
    <row r="49" spans="1:10" ht="15.75">
      <c r="A49" s="116">
        <v>37020</v>
      </c>
      <c r="B49" s="116">
        <v>11452</v>
      </c>
      <c r="C49" s="117" t="s">
        <v>279</v>
      </c>
      <c r="D49" s="118">
        <v>183816000</v>
      </c>
      <c r="E49" s="117" t="s">
        <v>280</v>
      </c>
      <c r="F49" s="119">
        <v>1326600</v>
      </c>
      <c r="G49" t="s">
        <v>281</v>
      </c>
      <c r="H49" s="120">
        <f t="shared" si="0"/>
        <v>138.56173677069199</v>
      </c>
      <c r="I49" s="121"/>
    </row>
    <row r="50" spans="1:10" ht="15.75">
      <c r="A50" s="116">
        <v>36990</v>
      </c>
      <c r="B50" s="116">
        <v>11057</v>
      </c>
      <c r="C50" s="117" t="s">
        <v>279</v>
      </c>
      <c r="D50" s="118">
        <v>189750000</v>
      </c>
      <c r="E50" s="117" t="s">
        <v>280</v>
      </c>
      <c r="F50" s="119">
        <v>1319300</v>
      </c>
      <c r="G50" t="s">
        <v>281</v>
      </c>
      <c r="H50" s="120">
        <f t="shared" si="0"/>
        <v>143.82627150761766</v>
      </c>
      <c r="I50" s="121"/>
    </row>
    <row r="51" spans="1:10" ht="15.75">
      <c r="A51" s="116">
        <v>36959</v>
      </c>
      <c r="B51" s="116">
        <v>11391</v>
      </c>
      <c r="C51" s="117" t="s">
        <v>279</v>
      </c>
      <c r="D51" s="118">
        <v>179914000</v>
      </c>
      <c r="E51" s="117" t="s">
        <v>280</v>
      </c>
      <c r="F51" s="119">
        <v>1278200</v>
      </c>
      <c r="G51" t="s">
        <v>281</v>
      </c>
      <c r="H51" s="120">
        <f t="shared" si="0"/>
        <v>140.75575027382257</v>
      </c>
      <c r="I51" s="121"/>
    </row>
    <row r="52" spans="1:10" ht="15.75">
      <c r="A52" s="116">
        <v>36931</v>
      </c>
      <c r="B52" s="116">
        <v>46792</v>
      </c>
      <c r="C52" s="117" t="s">
        <v>279</v>
      </c>
      <c r="D52" s="118">
        <v>182701000</v>
      </c>
      <c r="E52" s="117" t="s">
        <v>280</v>
      </c>
      <c r="F52" s="119">
        <v>1311100</v>
      </c>
      <c r="G52" t="s">
        <v>281</v>
      </c>
      <c r="H52" s="120">
        <f t="shared" si="0"/>
        <v>139.34940126611244</v>
      </c>
      <c r="I52" s="121"/>
    </row>
    <row r="53" spans="1:10" ht="15.75">
      <c r="A53" s="116">
        <v>36900</v>
      </c>
      <c r="B53" s="116">
        <v>11332</v>
      </c>
      <c r="C53" s="117" t="s">
        <v>279</v>
      </c>
      <c r="D53" s="118">
        <v>201846000</v>
      </c>
      <c r="E53" s="117" t="s">
        <v>280</v>
      </c>
      <c r="F53" s="119">
        <v>1409800</v>
      </c>
      <c r="G53" t="s">
        <v>281</v>
      </c>
      <c r="H53" s="120">
        <f t="shared" si="0"/>
        <v>143.17349978720387</v>
      </c>
      <c r="I53" s="121"/>
    </row>
    <row r="54" spans="1:10">
      <c r="A54" s="116">
        <v>37233</v>
      </c>
      <c r="B54" s="116">
        <v>11665</v>
      </c>
      <c r="C54" s="117" t="s">
        <v>279</v>
      </c>
      <c r="D54" s="118">
        <v>177074000</v>
      </c>
      <c r="E54" s="117" t="s">
        <v>280</v>
      </c>
      <c r="F54" s="119">
        <v>1290000</v>
      </c>
      <c r="G54" t="s">
        <v>281</v>
      </c>
      <c r="H54" s="120">
        <f t="shared" si="0"/>
        <v>137.26666666666668</v>
      </c>
      <c r="I54" s="120">
        <f>+AVERAGE(H54:H65)</f>
        <v>139.64922054737539</v>
      </c>
      <c r="J54">
        <f>J42-1</f>
        <v>2008</v>
      </c>
    </row>
    <row r="55" spans="1:10">
      <c r="A55" s="116">
        <v>37203</v>
      </c>
      <c r="B55" s="116">
        <v>11270</v>
      </c>
      <c r="C55" s="117" t="s">
        <v>279</v>
      </c>
      <c r="D55" s="118">
        <v>177579000</v>
      </c>
      <c r="E55" s="117" t="s">
        <v>280</v>
      </c>
      <c r="F55" s="119">
        <v>1303500</v>
      </c>
      <c r="G55" t="s">
        <v>281</v>
      </c>
      <c r="H55" s="120">
        <f t="shared" si="0"/>
        <v>136.23245109321059</v>
      </c>
    </row>
    <row r="56" spans="1:10">
      <c r="A56" s="116">
        <v>37172</v>
      </c>
      <c r="B56" s="116">
        <v>11604</v>
      </c>
      <c r="C56" s="117" t="s">
        <v>279</v>
      </c>
      <c r="D56" s="118">
        <v>206348000</v>
      </c>
      <c r="E56" s="117" t="s">
        <v>280</v>
      </c>
      <c r="F56" s="119">
        <v>1434900</v>
      </c>
      <c r="G56" t="s">
        <v>281</v>
      </c>
      <c r="H56" s="120">
        <f t="shared" si="0"/>
        <v>143.80653704090878</v>
      </c>
    </row>
    <row r="57" spans="1:10">
      <c r="A57" s="116">
        <v>37142</v>
      </c>
      <c r="B57" s="116">
        <v>11209</v>
      </c>
      <c r="C57" s="117" t="s">
        <v>279</v>
      </c>
      <c r="D57" s="118">
        <v>207990000</v>
      </c>
      <c r="E57" s="117" t="s">
        <v>280</v>
      </c>
      <c r="F57" s="119">
        <v>1477100</v>
      </c>
      <c r="G57" t="s">
        <v>281</v>
      </c>
      <c r="H57" s="120">
        <f t="shared" si="0"/>
        <v>140.80969467199242</v>
      </c>
    </row>
    <row r="58" spans="1:10">
      <c r="A58" s="116">
        <v>37111</v>
      </c>
      <c r="B58" s="116">
        <v>11543</v>
      </c>
      <c r="C58" s="117" t="s">
        <v>279</v>
      </c>
      <c r="D58" s="118">
        <v>219904000</v>
      </c>
      <c r="E58" s="117" t="s">
        <v>280</v>
      </c>
      <c r="F58" s="119">
        <v>1558900</v>
      </c>
      <c r="G58" t="s">
        <v>281</v>
      </c>
      <c r="H58" s="120">
        <f t="shared" si="0"/>
        <v>141.06357046635449</v>
      </c>
    </row>
    <row r="59" spans="1:10">
      <c r="A59" s="116">
        <v>37080</v>
      </c>
      <c r="B59" s="116">
        <v>11512</v>
      </c>
      <c r="C59" s="117" t="s">
        <v>279</v>
      </c>
      <c r="D59" s="118">
        <v>217970000</v>
      </c>
      <c r="E59" s="117" t="s">
        <v>280</v>
      </c>
      <c r="F59" s="119">
        <v>1574800</v>
      </c>
      <c r="G59" t="s">
        <v>281</v>
      </c>
      <c r="H59" s="120">
        <f t="shared" si="0"/>
        <v>138.41122682245364</v>
      </c>
    </row>
    <row r="60" spans="1:10">
      <c r="A60" s="116">
        <v>37050</v>
      </c>
      <c r="B60" s="116">
        <v>11117</v>
      </c>
      <c r="C60" s="117" t="s">
        <v>279</v>
      </c>
      <c r="D60" s="118">
        <v>221274000</v>
      </c>
      <c r="E60" s="117" t="s">
        <v>280</v>
      </c>
      <c r="F60" s="119">
        <v>1555100</v>
      </c>
      <c r="G60" t="s">
        <v>281</v>
      </c>
      <c r="H60" s="120">
        <f t="shared" si="0"/>
        <v>142.28924184939876</v>
      </c>
    </row>
    <row r="61" spans="1:10">
      <c r="A61" s="116">
        <v>37019</v>
      </c>
      <c r="B61" s="116">
        <v>11451</v>
      </c>
      <c r="C61" s="117" t="s">
        <v>279</v>
      </c>
      <c r="D61" s="118">
        <v>223371000</v>
      </c>
      <c r="E61" s="117" t="s">
        <v>280</v>
      </c>
      <c r="F61" s="119">
        <v>1557100</v>
      </c>
      <c r="G61" t="s">
        <v>281</v>
      </c>
      <c r="H61" s="120">
        <f t="shared" si="0"/>
        <v>143.4532143086507</v>
      </c>
    </row>
    <row r="62" spans="1:10">
      <c r="A62" s="116">
        <v>36989</v>
      </c>
      <c r="B62" s="116">
        <v>11056</v>
      </c>
      <c r="C62" s="117" t="s">
        <v>279</v>
      </c>
      <c r="D62" s="118">
        <v>216619000</v>
      </c>
      <c r="E62" s="117" t="s">
        <v>280</v>
      </c>
      <c r="F62" s="119">
        <v>1579600</v>
      </c>
      <c r="G62" t="s">
        <v>281</v>
      </c>
      <c r="H62" s="120">
        <f t="shared" si="0"/>
        <v>137.13535072170168</v>
      </c>
    </row>
    <row r="63" spans="1:10">
      <c r="A63" s="116">
        <v>36958</v>
      </c>
      <c r="B63" s="116">
        <v>11390</v>
      </c>
      <c r="C63" s="117" t="s">
        <v>279</v>
      </c>
      <c r="D63" s="118">
        <v>208366000</v>
      </c>
      <c r="E63" s="117" t="s">
        <v>280</v>
      </c>
      <c r="F63" s="119">
        <v>1512100</v>
      </c>
      <c r="G63" t="s">
        <v>281</v>
      </c>
      <c r="H63" s="120">
        <f t="shared" si="0"/>
        <v>137.79908736194696</v>
      </c>
    </row>
    <row r="64" spans="1:10">
      <c r="A64" s="116">
        <v>36930</v>
      </c>
      <c r="B64" s="116">
        <v>47157</v>
      </c>
      <c r="C64" s="117" t="s">
        <v>279</v>
      </c>
      <c r="D64" s="118">
        <v>207380000</v>
      </c>
      <c r="E64" s="117" t="s">
        <v>280</v>
      </c>
      <c r="F64" s="119">
        <v>1481000</v>
      </c>
      <c r="G64" t="s">
        <v>281</v>
      </c>
      <c r="H64" s="120">
        <f t="shared" si="0"/>
        <v>140.02700877785281</v>
      </c>
    </row>
    <row r="65" spans="1:10">
      <c r="A65" s="116">
        <v>36899</v>
      </c>
      <c r="B65" s="116">
        <v>11331</v>
      </c>
      <c r="C65" s="117" t="s">
        <v>279</v>
      </c>
      <c r="D65" s="118">
        <v>202010000</v>
      </c>
      <c r="E65" s="117" t="s">
        <v>280</v>
      </c>
      <c r="F65" s="119">
        <v>1469200</v>
      </c>
      <c r="G65" t="s">
        <v>281</v>
      </c>
      <c r="H65" s="120">
        <f t="shared" si="0"/>
        <v>137.49659678736728</v>
      </c>
    </row>
    <row r="66" spans="1:10">
      <c r="A66" s="116">
        <v>37232</v>
      </c>
      <c r="B66" s="116">
        <v>11664</v>
      </c>
      <c r="C66" s="117" t="s">
        <v>279</v>
      </c>
      <c r="D66" s="118">
        <v>207322000</v>
      </c>
      <c r="E66" s="117" t="s">
        <v>280</v>
      </c>
      <c r="F66" s="119">
        <v>1473800</v>
      </c>
      <c r="G66" t="s">
        <v>281</v>
      </c>
      <c r="H66" s="120">
        <f t="shared" si="0"/>
        <v>140.67173293526938</v>
      </c>
      <c r="I66" s="120">
        <f>+AVERAGE(H66:H77)</f>
        <v>139.74810733213519</v>
      </c>
      <c r="J66">
        <f>J54-1</f>
        <v>2007</v>
      </c>
    </row>
    <row r="67" spans="1:10">
      <c r="A67" s="116">
        <v>37202</v>
      </c>
      <c r="B67" s="116">
        <v>11269</v>
      </c>
      <c r="C67" s="117" t="s">
        <v>279</v>
      </c>
      <c r="D67" s="118">
        <v>199015000</v>
      </c>
      <c r="E67" s="117" t="s">
        <v>280</v>
      </c>
      <c r="F67" s="119">
        <v>1440700</v>
      </c>
      <c r="G67" t="s">
        <v>281</v>
      </c>
      <c r="H67" s="120">
        <f t="shared" si="0"/>
        <v>138.13771083501075</v>
      </c>
    </row>
    <row r="68" spans="1:10">
      <c r="A68" s="116">
        <v>37171</v>
      </c>
      <c r="B68" s="116">
        <v>11603</v>
      </c>
      <c r="C68" s="117" t="s">
        <v>279</v>
      </c>
      <c r="D68" s="118">
        <v>196797000</v>
      </c>
      <c r="E68" s="117" t="s">
        <v>280</v>
      </c>
      <c r="F68" s="119">
        <v>1418000</v>
      </c>
      <c r="G68" t="s">
        <v>281</v>
      </c>
      <c r="H68" s="120">
        <f t="shared" si="0"/>
        <v>138.78490832157968</v>
      </c>
    </row>
    <row r="69" spans="1:10">
      <c r="A69" s="116">
        <v>37141</v>
      </c>
      <c r="B69" s="116">
        <v>11208</v>
      </c>
      <c r="C69" s="117" t="s">
        <v>279</v>
      </c>
      <c r="D69" s="118">
        <v>191158000</v>
      </c>
      <c r="E69" s="117" t="s">
        <v>280</v>
      </c>
      <c r="F69" s="119">
        <v>1361000</v>
      </c>
      <c r="G69" t="s">
        <v>281</v>
      </c>
      <c r="H69" s="120">
        <f t="shared" ref="H69:H132" si="1">+D69/F69</f>
        <v>140.45407788390889</v>
      </c>
    </row>
    <row r="70" spans="1:10">
      <c r="A70" s="116">
        <v>37110</v>
      </c>
      <c r="B70" s="116">
        <v>11542</v>
      </c>
      <c r="C70" s="117" t="s">
        <v>279</v>
      </c>
      <c r="D70" s="118">
        <v>194522000</v>
      </c>
      <c r="E70" s="117" t="s">
        <v>280</v>
      </c>
      <c r="F70" s="119">
        <v>1365900</v>
      </c>
      <c r="G70" t="s">
        <v>281</v>
      </c>
      <c r="H70" s="120">
        <f t="shared" si="1"/>
        <v>142.41306098543086</v>
      </c>
    </row>
    <row r="71" spans="1:10">
      <c r="A71" s="116">
        <v>37079</v>
      </c>
      <c r="B71" s="116">
        <v>11511</v>
      </c>
      <c r="C71" s="117" t="s">
        <v>279</v>
      </c>
      <c r="D71" s="118">
        <v>189133000</v>
      </c>
      <c r="E71" s="117" t="s">
        <v>280</v>
      </c>
      <c r="F71" s="119">
        <v>1346700</v>
      </c>
      <c r="G71" t="s">
        <v>281</v>
      </c>
      <c r="H71" s="120">
        <f t="shared" si="1"/>
        <v>140.44182074701121</v>
      </c>
    </row>
    <row r="72" spans="1:10">
      <c r="A72" s="116">
        <v>37049</v>
      </c>
      <c r="B72" s="116">
        <v>11116</v>
      </c>
      <c r="C72" s="117" t="s">
        <v>279</v>
      </c>
      <c r="D72" s="118">
        <v>189024000</v>
      </c>
      <c r="E72" s="117" t="s">
        <v>280</v>
      </c>
      <c r="F72" s="119">
        <v>1342000</v>
      </c>
      <c r="G72" t="s">
        <v>281</v>
      </c>
      <c r="H72" s="120">
        <f t="shared" si="1"/>
        <v>140.85245901639345</v>
      </c>
    </row>
    <row r="73" spans="1:10">
      <c r="A73" s="116">
        <v>37018</v>
      </c>
      <c r="B73" s="116">
        <v>11450</v>
      </c>
      <c r="C73" s="117" t="s">
        <v>279</v>
      </c>
      <c r="D73" s="118">
        <v>190541000</v>
      </c>
      <c r="E73" s="117" t="s">
        <v>280</v>
      </c>
      <c r="F73" s="119">
        <v>1364300</v>
      </c>
      <c r="G73" t="s">
        <v>281</v>
      </c>
      <c r="H73" s="120">
        <f t="shared" si="1"/>
        <v>139.66209777908085</v>
      </c>
    </row>
    <row r="74" spans="1:10">
      <c r="A74" s="116">
        <v>36988</v>
      </c>
      <c r="B74" s="116">
        <v>11055</v>
      </c>
      <c r="C74" s="117" t="s">
        <v>279</v>
      </c>
      <c r="D74" s="118">
        <v>185408000</v>
      </c>
      <c r="E74" s="117" t="s">
        <v>280</v>
      </c>
      <c r="F74" s="119">
        <v>1335200</v>
      </c>
      <c r="G74" t="s">
        <v>281</v>
      </c>
      <c r="H74" s="120">
        <f t="shared" si="1"/>
        <v>138.86159376872379</v>
      </c>
    </row>
    <row r="75" spans="1:10">
      <c r="A75" s="116">
        <v>36957</v>
      </c>
      <c r="B75" s="116">
        <v>11389</v>
      </c>
      <c r="C75" s="117" t="s">
        <v>279</v>
      </c>
      <c r="D75" s="118">
        <v>182883000</v>
      </c>
      <c r="E75" s="117" t="s">
        <v>280</v>
      </c>
      <c r="F75" s="119">
        <v>1323000</v>
      </c>
      <c r="G75" t="s">
        <v>281</v>
      </c>
      <c r="H75" s="120">
        <f t="shared" si="1"/>
        <v>138.23356009070295</v>
      </c>
    </row>
    <row r="76" spans="1:10">
      <c r="A76" s="116">
        <v>36929</v>
      </c>
      <c r="B76" s="116">
        <v>46790</v>
      </c>
      <c r="C76" s="117" t="s">
        <v>279</v>
      </c>
      <c r="D76" s="118">
        <v>180703000</v>
      </c>
      <c r="E76" s="117" t="s">
        <v>280</v>
      </c>
      <c r="F76" s="119">
        <v>1297200</v>
      </c>
      <c r="G76" t="s">
        <v>281</v>
      </c>
      <c r="H76" s="120">
        <f t="shared" si="1"/>
        <v>139.30234350909652</v>
      </c>
    </row>
    <row r="77" spans="1:10">
      <c r="A77" s="116">
        <v>36898</v>
      </c>
      <c r="B77" s="116">
        <v>11330</v>
      </c>
      <c r="C77" s="117" t="s">
        <v>279</v>
      </c>
      <c r="D77" s="118">
        <v>183318000</v>
      </c>
      <c r="E77" s="117" t="s">
        <v>280</v>
      </c>
      <c r="F77" s="119">
        <v>1317300</v>
      </c>
      <c r="G77" t="s">
        <v>281</v>
      </c>
      <c r="H77" s="120">
        <f t="shared" si="1"/>
        <v>139.16192211341379</v>
      </c>
    </row>
    <row r="78" spans="1:10">
      <c r="A78" s="116">
        <v>37231</v>
      </c>
      <c r="B78" s="116">
        <v>11663</v>
      </c>
      <c r="C78" s="117" t="s">
        <v>279</v>
      </c>
      <c r="D78" s="118">
        <v>179091000</v>
      </c>
      <c r="E78" s="117" t="s">
        <v>280</v>
      </c>
      <c r="F78" s="119">
        <v>1315700</v>
      </c>
      <c r="G78" t="s">
        <v>281</v>
      </c>
      <c r="H78" s="120">
        <f t="shared" si="1"/>
        <v>136.11841605229156</v>
      </c>
      <c r="I78" s="120">
        <f>+AVERAGE(H78:H89)</f>
        <v>135.00046035263051</v>
      </c>
      <c r="J78">
        <f>J66-1</f>
        <v>2006</v>
      </c>
    </row>
    <row r="79" spans="1:10">
      <c r="A79" s="116">
        <v>37201</v>
      </c>
      <c r="B79" s="116">
        <v>11268</v>
      </c>
      <c r="C79" s="117" t="s">
        <v>279</v>
      </c>
      <c r="D79" s="118">
        <v>173448000</v>
      </c>
      <c r="E79" s="117" t="s">
        <v>280</v>
      </c>
      <c r="F79" s="119">
        <v>1271700</v>
      </c>
      <c r="G79" t="s">
        <v>281</v>
      </c>
      <c r="H79" s="120">
        <f t="shared" si="1"/>
        <v>136.39065817409767</v>
      </c>
    </row>
    <row r="80" spans="1:10">
      <c r="A80" s="116">
        <v>37170</v>
      </c>
      <c r="B80" s="116">
        <v>11602</v>
      </c>
      <c r="C80" s="117" t="s">
        <v>279</v>
      </c>
      <c r="D80" s="118">
        <v>176771000</v>
      </c>
      <c r="E80" s="117" t="s">
        <v>280</v>
      </c>
      <c r="F80" s="119">
        <v>1271300</v>
      </c>
      <c r="G80" t="s">
        <v>281</v>
      </c>
      <c r="H80" s="120">
        <f t="shared" si="1"/>
        <v>139.04743176276253</v>
      </c>
    </row>
    <row r="81" spans="1:10">
      <c r="A81" s="116">
        <v>37140</v>
      </c>
      <c r="B81" s="116">
        <v>11207</v>
      </c>
      <c r="C81" s="117" t="s">
        <v>279</v>
      </c>
      <c r="D81" s="118">
        <v>176582000</v>
      </c>
      <c r="E81" s="117" t="s">
        <v>280</v>
      </c>
      <c r="F81" s="119">
        <v>1281800</v>
      </c>
      <c r="G81" t="s">
        <v>281</v>
      </c>
      <c r="H81" s="120">
        <f t="shared" si="1"/>
        <v>137.76096114838509</v>
      </c>
    </row>
    <row r="82" spans="1:10">
      <c r="A82" s="116">
        <v>37109</v>
      </c>
      <c r="B82" s="116">
        <v>11541</v>
      </c>
      <c r="C82" s="117" t="s">
        <v>279</v>
      </c>
      <c r="D82" s="118">
        <v>174750000</v>
      </c>
      <c r="E82" s="117" t="s">
        <v>280</v>
      </c>
      <c r="F82" s="119">
        <v>1266400</v>
      </c>
      <c r="G82" t="s">
        <v>281</v>
      </c>
      <c r="H82" s="120">
        <f t="shared" si="1"/>
        <v>137.98957675300062</v>
      </c>
    </row>
    <row r="83" spans="1:10">
      <c r="A83" s="116">
        <v>37078</v>
      </c>
      <c r="B83" s="116">
        <v>11510</v>
      </c>
      <c r="C83" s="117" t="s">
        <v>279</v>
      </c>
      <c r="D83" s="118">
        <v>173817000</v>
      </c>
      <c r="E83" s="117" t="s">
        <v>280</v>
      </c>
      <c r="F83" s="119">
        <v>1252900</v>
      </c>
      <c r="G83" t="s">
        <v>281</v>
      </c>
      <c r="H83" s="120">
        <f t="shared" si="1"/>
        <v>138.73174235773007</v>
      </c>
    </row>
    <row r="84" spans="1:10">
      <c r="A84" s="116">
        <v>37048</v>
      </c>
      <c r="B84" s="116">
        <v>11115</v>
      </c>
      <c r="C84" s="117" t="s">
        <v>279</v>
      </c>
      <c r="D84" s="118">
        <v>178350000</v>
      </c>
      <c r="E84" s="117" t="s">
        <v>280</v>
      </c>
      <c r="F84" s="119">
        <v>1283900</v>
      </c>
      <c r="G84" t="s">
        <v>281</v>
      </c>
      <c r="H84" s="120">
        <f t="shared" si="1"/>
        <v>138.91268790404237</v>
      </c>
    </row>
    <row r="85" spans="1:10">
      <c r="A85" s="116">
        <v>37017</v>
      </c>
      <c r="B85" s="116">
        <v>11449</v>
      </c>
      <c r="C85" s="117" t="s">
        <v>279</v>
      </c>
      <c r="D85" s="118">
        <v>168325000</v>
      </c>
      <c r="E85" s="117" t="s">
        <v>280</v>
      </c>
      <c r="F85" s="119">
        <v>1241400</v>
      </c>
      <c r="G85" t="s">
        <v>281</v>
      </c>
      <c r="H85" s="120">
        <f t="shared" si="1"/>
        <v>135.59287900757209</v>
      </c>
    </row>
    <row r="86" spans="1:10">
      <c r="A86" s="116">
        <v>36987</v>
      </c>
      <c r="B86" s="116">
        <v>11054</v>
      </c>
      <c r="C86" s="117" t="s">
        <v>279</v>
      </c>
      <c r="D86" s="118">
        <v>160802000</v>
      </c>
      <c r="E86" s="117" t="s">
        <v>280</v>
      </c>
      <c r="F86" s="119">
        <v>1209600</v>
      </c>
      <c r="G86" t="s">
        <v>281</v>
      </c>
      <c r="H86" s="120">
        <f t="shared" si="1"/>
        <v>132.93816137566137</v>
      </c>
    </row>
    <row r="87" spans="1:10">
      <c r="A87" s="116">
        <v>36956</v>
      </c>
      <c r="B87" s="116">
        <v>11388</v>
      </c>
      <c r="C87" s="117" t="s">
        <v>279</v>
      </c>
      <c r="D87" s="118">
        <v>157614000</v>
      </c>
      <c r="E87" s="117" t="s">
        <v>280</v>
      </c>
      <c r="F87" s="119">
        <v>1185200</v>
      </c>
      <c r="G87" t="s">
        <v>281</v>
      </c>
      <c r="H87" s="120">
        <f t="shared" si="1"/>
        <v>132.98515018562267</v>
      </c>
    </row>
    <row r="88" spans="1:10">
      <c r="A88" s="116">
        <v>36928</v>
      </c>
      <c r="B88" s="116">
        <v>46789</v>
      </c>
      <c r="C88" s="117" t="s">
        <v>279</v>
      </c>
      <c r="D88" s="118">
        <v>154597000</v>
      </c>
      <c r="E88" s="117" t="s">
        <v>280</v>
      </c>
      <c r="F88" s="119">
        <v>1208200</v>
      </c>
      <c r="G88" t="s">
        <v>281</v>
      </c>
      <c r="H88" s="120">
        <f t="shared" si="1"/>
        <v>127.95646416156265</v>
      </c>
    </row>
    <row r="89" spans="1:10">
      <c r="A89" s="116">
        <v>36897</v>
      </c>
      <c r="B89" s="116">
        <v>11329</v>
      </c>
      <c r="C89" s="117" t="s">
        <v>279</v>
      </c>
      <c r="D89" s="118">
        <v>148500000</v>
      </c>
      <c r="E89" s="117" t="s">
        <v>280</v>
      </c>
      <c r="F89" s="119">
        <v>1182500</v>
      </c>
      <c r="G89" t="s">
        <v>281</v>
      </c>
      <c r="H89" s="120">
        <f t="shared" si="1"/>
        <v>125.58139534883721</v>
      </c>
    </row>
    <row r="90" spans="1:10">
      <c r="A90" s="116">
        <v>37230</v>
      </c>
      <c r="B90" s="116">
        <v>11662</v>
      </c>
      <c r="C90" s="117" t="s">
        <v>279</v>
      </c>
      <c r="D90" s="118">
        <v>146044000</v>
      </c>
      <c r="E90" s="117" t="s">
        <v>280</v>
      </c>
      <c r="F90" s="119">
        <v>1179300</v>
      </c>
      <c r="G90" t="s">
        <v>281</v>
      </c>
      <c r="H90" s="120">
        <f t="shared" si="1"/>
        <v>123.83956584414483</v>
      </c>
      <c r="I90" s="120">
        <f>+AVERAGE(H90:H101)</f>
        <v>117.64747889805608</v>
      </c>
      <c r="J90">
        <f>J78-1</f>
        <v>2005</v>
      </c>
    </row>
    <row r="91" spans="1:10">
      <c r="A91" s="116">
        <v>37200</v>
      </c>
      <c r="B91" s="116">
        <v>11267</v>
      </c>
      <c r="C91" s="117" t="s">
        <v>279</v>
      </c>
      <c r="D91" s="118">
        <v>147870000</v>
      </c>
      <c r="E91" s="117" t="s">
        <v>280</v>
      </c>
      <c r="F91" s="119">
        <v>1213800</v>
      </c>
      <c r="G91" t="s">
        <v>281</v>
      </c>
      <c r="H91" s="120">
        <f t="shared" si="1"/>
        <v>121.82402372713791</v>
      </c>
    </row>
    <row r="92" spans="1:10">
      <c r="A92" s="116">
        <v>37169</v>
      </c>
      <c r="B92" s="116">
        <v>11601</v>
      </c>
      <c r="C92" s="117" t="s">
        <v>279</v>
      </c>
      <c r="D92" s="118">
        <v>149392000</v>
      </c>
      <c r="E92" s="117" t="s">
        <v>280</v>
      </c>
      <c r="F92" s="119">
        <v>1206300</v>
      </c>
      <c r="G92" t="s">
        <v>281</v>
      </c>
      <c r="H92" s="120">
        <f t="shared" si="1"/>
        <v>123.84315676034154</v>
      </c>
    </row>
    <row r="93" spans="1:10">
      <c r="A93" s="116">
        <v>37139</v>
      </c>
      <c r="B93" s="116">
        <v>11206</v>
      </c>
      <c r="C93" s="117" t="s">
        <v>279</v>
      </c>
      <c r="D93" s="118">
        <v>151301000</v>
      </c>
      <c r="E93" s="117" t="s">
        <v>280</v>
      </c>
      <c r="F93" s="119">
        <v>1218100</v>
      </c>
      <c r="G93" t="s">
        <v>281</v>
      </c>
      <c r="H93" s="120">
        <f t="shared" si="1"/>
        <v>124.21065593957803</v>
      </c>
    </row>
    <row r="94" spans="1:10">
      <c r="A94" s="116">
        <v>37108</v>
      </c>
      <c r="B94" s="116">
        <v>11540</v>
      </c>
      <c r="C94" s="117" t="s">
        <v>279</v>
      </c>
      <c r="D94" s="118">
        <v>149299000</v>
      </c>
      <c r="E94" s="117" t="s">
        <v>280</v>
      </c>
      <c r="F94" s="119">
        <v>1210000</v>
      </c>
      <c r="G94" t="s">
        <v>281</v>
      </c>
      <c r="H94" s="120">
        <f t="shared" si="1"/>
        <v>123.38760330578512</v>
      </c>
    </row>
    <row r="95" spans="1:10">
      <c r="A95" s="116">
        <v>37077</v>
      </c>
      <c r="B95" s="116">
        <v>11509</v>
      </c>
      <c r="C95" s="117" t="s">
        <v>279</v>
      </c>
      <c r="D95" s="118">
        <v>148949000</v>
      </c>
      <c r="E95" s="117" t="s">
        <v>280</v>
      </c>
      <c r="F95" s="119">
        <v>1205400</v>
      </c>
      <c r="G95" t="s">
        <v>281</v>
      </c>
      <c r="H95" s="120">
        <f t="shared" si="1"/>
        <v>123.56811017089763</v>
      </c>
    </row>
    <row r="96" spans="1:10">
      <c r="A96" s="116">
        <v>37047</v>
      </c>
      <c r="B96" s="116">
        <v>11114</v>
      </c>
      <c r="C96" s="117" t="s">
        <v>279</v>
      </c>
      <c r="D96" s="118">
        <v>148284000</v>
      </c>
      <c r="E96" s="117" t="s">
        <v>280</v>
      </c>
      <c r="F96" s="119">
        <v>1247200</v>
      </c>
      <c r="G96" t="s">
        <v>281</v>
      </c>
      <c r="H96" s="120">
        <f t="shared" si="1"/>
        <v>118.89352148813342</v>
      </c>
    </row>
    <row r="97" spans="1:10">
      <c r="A97" s="116">
        <v>37016</v>
      </c>
      <c r="B97" s="116">
        <v>11448</v>
      </c>
      <c r="C97" s="117" t="s">
        <v>279</v>
      </c>
      <c r="D97" s="118">
        <v>149456000</v>
      </c>
      <c r="E97" s="117" t="s">
        <v>280</v>
      </c>
      <c r="F97" s="119">
        <v>1290500</v>
      </c>
      <c r="G97" t="s">
        <v>281</v>
      </c>
      <c r="H97" s="120">
        <f t="shared" si="1"/>
        <v>115.81247578457962</v>
      </c>
    </row>
    <row r="98" spans="1:10">
      <c r="A98" s="116">
        <v>36986</v>
      </c>
      <c r="B98" s="116">
        <v>11053</v>
      </c>
      <c r="C98" s="117" t="s">
        <v>279</v>
      </c>
      <c r="D98" s="118">
        <v>145606000</v>
      </c>
      <c r="E98" s="117" t="s">
        <v>280</v>
      </c>
      <c r="F98" s="119">
        <v>1294300</v>
      </c>
      <c r="G98" t="s">
        <v>281</v>
      </c>
      <c r="H98" s="120">
        <f t="shared" si="1"/>
        <v>112.49787529938963</v>
      </c>
    </row>
    <row r="99" spans="1:10">
      <c r="A99" s="116">
        <v>36955</v>
      </c>
      <c r="B99" s="116">
        <v>11387</v>
      </c>
      <c r="C99" s="117" t="s">
        <v>279</v>
      </c>
      <c r="D99" s="118">
        <v>142389000</v>
      </c>
      <c r="E99" s="117" t="s">
        <v>280</v>
      </c>
      <c r="F99" s="119">
        <v>1316500</v>
      </c>
      <c r="G99" t="s">
        <v>281</v>
      </c>
      <c r="H99" s="120">
        <f t="shared" si="1"/>
        <v>108.15723509304975</v>
      </c>
    </row>
    <row r="100" spans="1:10">
      <c r="A100" s="116">
        <v>36927</v>
      </c>
      <c r="B100" s="116">
        <v>46788</v>
      </c>
      <c r="C100" s="117" t="s">
        <v>279</v>
      </c>
      <c r="D100" s="118">
        <v>142116000</v>
      </c>
      <c r="E100" s="117" t="s">
        <v>280</v>
      </c>
      <c r="F100" s="119">
        <v>1303500</v>
      </c>
      <c r="G100" t="s">
        <v>281</v>
      </c>
      <c r="H100" s="120">
        <f t="shared" si="1"/>
        <v>109.02646720368239</v>
      </c>
    </row>
    <row r="101" spans="1:10">
      <c r="A101" s="116">
        <v>36896</v>
      </c>
      <c r="B101" s="116">
        <v>11328</v>
      </c>
      <c r="C101" s="117" t="s">
        <v>279</v>
      </c>
      <c r="D101" s="118">
        <v>145167000</v>
      </c>
      <c r="E101" s="117" t="s">
        <v>280</v>
      </c>
      <c r="F101" s="119">
        <v>1360400</v>
      </c>
      <c r="G101" t="s">
        <v>281</v>
      </c>
      <c r="H101" s="120">
        <f t="shared" si="1"/>
        <v>106.70905615995295</v>
      </c>
    </row>
    <row r="102" spans="1:10">
      <c r="A102" s="116">
        <v>37229</v>
      </c>
      <c r="B102" s="116">
        <v>11661</v>
      </c>
      <c r="C102" s="117" t="s">
        <v>279</v>
      </c>
      <c r="D102" s="118">
        <v>144655000</v>
      </c>
      <c r="E102" s="117" t="s">
        <v>280</v>
      </c>
      <c r="F102" s="119">
        <v>1324700</v>
      </c>
      <c r="G102" t="s">
        <v>281</v>
      </c>
      <c r="H102" s="120">
        <f t="shared" si="1"/>
        <v>109.19830905110591</v>
      </c>
      <c r="I102" s="120">
        <f>+AVERAGE(H102:H113)</f>
        <v>108.66022970627857</v>
      </c>
      <c r="J102">
        <f>J90-1</f>
        <v>2004</v>
      </c>
    </row>
    <row r="103" spans="1:10">
      <c r="A103" s="116">
        <v>37199</v>
      </c>
      <c r="B103" s="116">
        <v>11266</v>
      </c>
      <c r="C103" s="117" t="s">
        <v>279</v>
      </c>
      <c r="D103" s="118">
        <v>137584000</v>
      </c>
      <c r="E103" s="117" t="s">
        <v>280</v>
      </c>
      <c r="F103" s="119">
        <v>1271100</v>
      </c>
      <c r="G103" t="s">
        <v>281</v>
      </c>
      <c r="H103" s="120">
        <f t="shared" si="1"/>
        <v>108.24010699394225</v>
      </c>
    </row>
    <row r="104" spans="1:10">
      <c r="A104" s="116">
        <v>37168</v>
      </c>
      <c r="B104" s="116">
        <v>11600</v>
      </c>
      <c r="C104" s="117" t="s">
        <v>279</v>
      </c>
      <c r="D104" s="118">
        <v>133581000</v>
      </c>
      <c r="E104" s="117" t="s">
        <v>280</v>
      </c>
      <c r="F104" s="119">
        <v>1232300</v>
      </c>
      <c r="G104" t="s">
        <v>281</v>
      </c>
      <c r="H104" s="120">
        <f t="shared" si="1"/>
        <v>108.3997403229733</v>
      </c>
    </row>
    <row r="105" spans="1:10">
      <c r="A105" s="116">
        <v>37138</v>
      </c>
      <c r="B105" s="116">
        <v>11205</v>
      </c>
      <c r="C105" s="117" t="s">
        <v>279</v>
      </c>
      <c r="D105" s="118">
        <v>131562000</v>
      </c>
      <c r="E105" s="117" t="s">
        <v>280</v>
      </c>
      <c r="F105" s="119">
        <v>1204700</v>
      </c>
      <c r="G105" t="s">
        <v>281</v>
      </c>
      <c r="H105" s="120">
        <f t="shared" si="1"/>
        <v>109.20727151988046</v>
      </c>
    </row>
    <row r="106" spans="1:10">
      <c r="A106" s="116">
        <v>37107</v>
      </c>
      <c r="B106" s="116">
        <v>11539</v>
      </c>
      <c r="C106" s="117" t="s">
        <v>279</v>
      </c>
      <c r="D106" s="118">
        <v>131715000</v>
      </c>
      <c r="E106" s="117" t="s">
        <v>280</v>
      </c>
      <c r="F106" s="119">
        <v>1202600</v>
      </c>
      <c r="G106" t="s">
        <v>281</v>
      </c>
      <c r="H106" s="120">
        <f t="shared" si="1"/>
        <v>109.52519540994511</v>
      </c>
    </row>
    <row r="107" spans="1:10">
      <c r="A107" s="116">
        <v>37076</v>
      </c>
      <c r="B107" s="116">
        <v>11508</v>
      </c>
      <c r="C107" s="117" t="s">
        <v>279</v>
      </c>
      <c r="D107" s="118">
        <v>131746000</v>
      </c>
      <c r="E107" s="117" t="s">
        <v>280</v>
      </c>
      <c r="F107" s="119">
        <v>1216900</v>
      </c>
      <c r="G107" t="s">
        <v>281</v>
      </c>
      <c r="H107" s="120">
        <f t="shared" si="1"/>
        <v>108.26362067548689</v>
      </c>
    </row>
    <row r="108" spans="1:10">
      <c r="A108" s="116">
        <v>37046</v>
      </c>
      <c r="B108" s="116">
        <v>11113</v>
      </c>
      <c r="C108" s="117" t="s">
        <v>279</v>
      </c>
      <c r="D108" s="118">
        <v>130651000</v>
      </c>
      <c r="E108" s="117" t="s">
        <v>280</v>
      </c>
      <c r="F108" s="119">
        <v>1224600</v>
      </c>
      <c r="G108" t="s">
        <v>281</v>
      </c>
      <c r="H108" s="120">
        <f t="shared" si="1"/>
        <v>106.68871468234525</v>
      </c>
    </row>
    <row r="109" spans="1:10">
      <c r="A109" s="116">
        <v>37015</v>
      </c>
      <c r="B109" s="116">
        <v>11447</v>
      </c>
      <c r="C109" s="117" t="s">
        <v>279</v>
      </c>
      <c r="D109" s="118">
        <v>129134000</v>
      </c>
      <c r="E109" s="117" t="s">
        <v>280</v>
      </c>
      <c r="F109" s="119">
        <v>1182600</v>
      </c>
      <c r="G109" t="s">
        <v>281</v>
      </c>
      <c r="H109" s="120">
        <f t="shared" si="1"/>
        <v>109.19499408083882</v>
      </c>
    </row>
    <row r="110" spans="1:10">
      <c r="A110" s="116">
        <v>36985</v>
      </c>
      <c r="B110" s="116">
        <v>11052</v>
      </c>
      <c r="C110" s="117" t="s">
        <v>279</v>
      </c>
      <c r="D110" s="118">
        <v>132123000</v>
      </c>
      <c r="E110" s="117" t="s">
        <v>280</v>
      </c>
      <c r="F110" s="119">
        <v>1218700</v>
      </c>
      <c r="G110" t="s">
        <v>281</v>
      </c>
      <c r="H110" s="120">
        <f t="shared" si="1"/>
        <v>108.41306310002462</v>
      </c>
    </row>
    <row r="111" spans="1:10">
      <c r="A111" s="116">
        <v>36954</v>
      </c>
      <c r="B111" s="116">
        <v>11386</v>
      </c>
      <c r="C111" s="117" t="s">
        <v>279</v>
      </c>
      <c r="D111" s="118">
        <v>136147000</v>
      </c>
      <c r="E111" s="117" t="s">
        <v>280</v>
      </c>
      <c r="F111" s="119">
        <v>1244400</v>
      </c>
      <c r="G111" t="s">
        <v>281</v>
      </c>
      <c r="H111" s="120">
        <f t="shared" si="1"/>
        <v>109.40774670523948</v>
      </c>
    </row>
    <row r="112" spans="1:10">
      <c r="A112" s="116">
        <v>36926</v>
      </c>
      <c r="B112" s="116">
        <v>47153</v>
      </c>
      <c r="C112" s="117" t="s">
        <v>279</v>
      </c>
      <c r="D112" s="118">
        <v>136720000</v>
      </c>
      <c r="E112" s="117" t="s">
        <v>280</v>
      </c>
      <c r="F112" s="119">
        <v>1246800</v>
      </c>
      <c r="G112" t="s">
        <v>281</v>
      </c>
      <c r="H112" s="120">
        <f t="shared" si="1"/>
        <v>109.6567212062881</v>
      </c>
    </row>
    <row r="113" spans="1:10">
      <c r="A113" s="116">
        <v>36895</v>
      </c>
      <c r="B113" s="116">
        <v>11327</v>
      </c>
      <c r="C113" s="117" t="s">
        <v>279</v>
      </c>
      <c r="D113" s="118">
        <v>134616000</v>
      </c>
      <c r="E113" s="117" t="s">
        <v>280</v>
      </c>
      <c r="F113" s="119">
        <v>1249600</v>
      </c>
      <c r="G113" t="s">
        <v>281</v>
      </c>
      <c r="H113" s="120">
        <f t="shared" si="1"/>
        <v>107.72727272727273</v>
      </c>
    </row>
    <row r="114" spans="1:10">
      <c r="A114" s="116">
        <v>37228</v>
      </c>
      <c r="B114" s="116">
        <v>11660</v>
      </c>
      <c r="C114" s="117" t="s">
        <v>279</v>
      </c>
      <c r="D114" s="118">
        <v>126639000</v>
      </c>
      <c r="E114" s="117" t="s">
        <v>280</v>
      </c>
      <c r="F114" s="119">
        <v>1190200</v>
      </c>
      <c r="G114" t="s">
        <v>281</v>
      </c>
      <c r="H114" s="120">
        <f t="shared" si="1"/>
        <v>106.40144513527139</v>
      </c>
      <c r="I114" s="120">
        <f>+AVERAGE(H114:H125)</f>
        <v>95.851804907003213</v>
      </c>
      <c r="J114">
        <f>J102-1</f>
        <v>2003</v>
      </c>
    </row>
    <row r="115" spans="1:10">
      <c r="A115" s="116">
        <v>37198</v>
      </c>
      <c r="B115" s="116">
        <v>11265</v>
      </c>
      <c r="C115" s="117" t="s">
        <v>279</v>
      </c>
      <c r="D115" s="118">
        <v>127244000</v>
      </c>
      <c r="E115" s="117" t="s">
        <v>280</v>
      </c>
      <c r="F115" s="119">
        <v>1173600</v>
      </c>
      <c r="G115" t="s">
        <v>281</v>
      </c>
      <c r="H115" s="120">
        <f t="shared" si="1"/>
        <v>108.42194955691888</v>
      </c>
    </row>
    <row r="116" spans="1:10">
      <c r="A116" s="116">
        <v>37167</v>
      </c>
      <c r="B116" s="116">
        <v>11599</v>
      </c>
      <c r="C116" s="117" t="s">
        <v>279</v>
      </c>
      <c r="D116" s="118">
        <v>123877000</v>
      </c>
      <c r="E116" s="117" t="s">
        <v>280</v>
      </c>
      <c r="F116" s="119">
        <v>1141300</v>
      </c>
      <c r="G116" t="s">
        <v>281</v>
      </c>
      <c r="H116" s="120">
        <f t="shared" si="1"/>
        <v>108.5402611057566</v>
      </c>
    </row>
    <row r="117" spans="1:10">
      <c r="A117" s="116">
        <v>37137</v>
      </c>
      <c r="B117" s="116">
        <v>11204</v>
      </c>
      <c r="C117" s="117" t="s">
        <v>279</v>
      </c>
      <c r="D117" s="118">
        <v>117513000</v>
      </c>
      <c r="E117" s="117" t="s">
        <v>280</v>
      </c>
      <c r="F117" s="119">
        <v>1082800</v>
      </c>
      <c r="G117" t="s">
        <v>281</v>
      </c>
      <c r="H117" s="120">
        <f t="shared" si="1"/>
        <v>108.52696712227558</v>
      </c>
    </row>
    <row r="118" spans="1:10">
      <c r="A118" s="116">
        <v>37106</v>
      </c>
      <c r="B118" s="116">
        <v>11538</v>
      </c>
      <c r="C118" s="117" t="s">
        <v>279</v>
      </c>
      <c r="D118" s="118">
        <v>104004000</v>
      </c>
      <c r="E118" s="117" t="s">
        <v>280</v>
      </c>
      <c r="F118" s="119">
        <v>1142000</v>
      </c>
      <c r="G118" t="s">
        <v>281</v>
      </c>
      <c r="H118" s="120">
        <f t="shared" si="1"/>
        <v>91.071803852889673</v>
      </c>
    </row>
    <row r="119" spans="1:10">
      <c r="A119" s="116">
        <v>37075</v>
      </c>
      <c r="B119" s="116">
        <v>11507</v>
      </c>
      <c r="C119" s="117" t="s">
        <v>279</v>
      </c>
      <c r="D119" s="118">
        <v>103975000</v>
      </c>
      <c r="E119" s="117" t="s">
        <v>280</v>
      </c>
      <c r="F119" s="119">
        <v>1141300</v>
      </c>
      <c r="G119" t="s">
        <v>281</v>
      </c>
      <c r="H119" s="120">
        <f t="shared" si="1"/>
        <v>91.102251818102161</v>
      </c>
    </row>
    <row r="120" spans="1:10">
      <c r="A120" s="116">
        <v>37045</v>
      </c>
      <c r="B120" s="116">
        <v>11112</v>
      </c>
      <c r="C120" s="117" t="s">
        <v>279</v>
      </c>
      <c r="D120" s="118">
        <v>108041000</v>
      </c>
      <c r="E120" s="117" t="s">
        <v>280</v>
      </c>
      <c r="F120" s="119">
        <v>1175600</v>
      </c>
      <c r="G120" t="s">
        <v>281</v>
      </c>
      <c r="H120" s="120">
        <f t="shared" si="1"/>
        <v>91.902858115005102</v>
      </c>
    </row>
    <row r="121" spans="1:10">
      <c r="A121" s="116">
        <v>37014</v>
      </c>
      <c r="B121" s="116">
        <v>11446</v>
      </c>
      <c r="C121" s="117" t="s">
        <v>279</v>
      </c>
      <c r="D121" s="118">
        <v>99222000</v>
      </c>
      <c r="E121" s="117" t="s">
        <v>280</v>
      </c>
      <c r="F121" s="119">
        <v>1095600</v>
      </c>
      <c r="G121" t="s">
        <v>281</v>
      </c>
      <c r="H121" s="120">
        <f t="shared" si="1"/>
        <v>90.56407447973713</v>
      </c>
    </row>
    <row r="122" spans="1:10">
      <c r="A122" s="116">
        <v>36984</v>
      </c>
      <c r="B122" s="116">
        <v>11051</v>
      </c>
      <c r="C122" s="117" t="s">
        <v>279</v>
      </c>
      <c r="D122" s="118">
        <v>97248300</v>
      </c>
      <c r="E122" s="117" t="s">
        <v>280</v>
      </c>
      <c r="F122" s="119">
        <v>1073000</v>
      </c>
      <c r="G122" t="s">
        <v>281</v>
      </c>
      <c r="H122" s="120">
        <f t="shared" si="1"/>
        <v>90.632152842497675</v>
      </c>
    </row>
    <row r="123" spans="1:10">
      <c r="A123" s="116">
        <v>36953</v>
      </c>
      <c r="B123" s="116">
        <v>11385</v>
      </c>
      <c r="C123" s="117" t="s">
        <v>279</v>
      </c>
      <c r="D123" s="118">
        <v>97239700</v>
      </c>
      <c r="E123" s="117" t="s">
        <v>280</v>
      </c>
      <c r="F123" s="119">
        <v>1082200</v>
      </c>
      <c r="G123" t="s">
        <v>281</v>
      </c>
      <c r="H123" s="120">
        <f t="shared" si="1"/>
        <v>89.853723895767885</v>
      </c>
    </row>
    <row r="124" spans="1:10">
      <c r="A124" s="116">
        <v>36925</v>
      </c>
      <c r="B124" s="116">
        <v>46786</v>
      </c>
      <c r="C124" s="117" t="s">
        <v>279</v>
      </c>
      <c r="D124" s="118">
        <v>93969600</v>
      </c>
      <c r="E124" s="117" t="s">
        <v>280</v>
      </c>
      <c r="F124" s="119">
        <v>1074800</v>
      </c>
      <c r="G124" t="s">
        <v>281</v>
      </c>
      <c r="H124" s="120">
        <f t="shared" si="1"/>
        <v>87.429847413472274</v>
      </c>
    </row>
    <row r="125" spans="1:10">
      <c r="A125" s="116">
        <v>36894</v>
      </c>
      <c r="B125" s="116">
        <v>11326</v>
      </c>
      <c r="C125" s="117" t="s">
        <v>279</v>
      </c>
      <c r="D125" s="118">
        <v>89394000</v>
      </c>
      <c r="E125" s="117" t="s">
        <v>280</v>
      </c>
      <c r="F125" s="119">
        <v>1042200</v>
      </c>
      <c r="G125" t="s">
        <v>281</v>
      </c>
      <c r="H125" s="120">
        <f t="shared" si="1"/>
        <v>85.774323546344277</v>
      </c>
    </row>
    <row r="126" spans="1:10">
      <c r="A126" s="116">
        <v>37227</v>
      </c>
      <c r="B126" s="116">
        <v>11659</v>
      </c>
      <c r="C126" s="117" t="s">
        <v>279</v>
      </c>
      <c r="D126" s="118">
        <v>83079800</v>
      </c>
      <c r="E126" s="117" t="s">
        <v>280</v>
      </c>
      <c r="F126" s="122" t="s">
        <v>282</v>
      </c>
      <c r="G126" t="s">
        <v>281</v>
      </c>
      <c r="H126" s="120" t="e">
        <f t="shared" si="1"/>
        <v>#VALUE!</v>
      </c>
      <c r="I126" s="120" t="e">
        <f>+AVERAGE(H126:H137)</f>
        <v>#VALUE!</v>
      </c>
    </row>
    <row r="127" spans="1:10">
      <c r="A127" s="116">
        <v>37197</v>
      </c>
      <c r="B127" s="116">
        <v>11264</v>
      </c>
      <c r="C127" s="117" t="s">
        <v>279</v>
      </c>
      <c r="D127" s="118">
        <v>78263400</v>
      </c>
      <c r="E127" s="117" t="s">
        <v>280</v>
      </c>
      <c r="F127" s="122" t="s">
        <v>283</v>
      </c>
      <c r="G127" t="s">
        <v>281</v>
      </c>
      <c r="H127" s="120" t="e">
        <f t="shared" si="1"/>
        <v>#VALUE!</v>
      </c>
    </row>
    <row r="128" spans="1:10">
      <c r="A128" s="116">
        <v>37166</v>
      </c>
      <c r="B128" s="116">
        <v>11598</v>
      </c>
      <c r="C128" s="117" t="s">
        <v>279</v>
      </c>
      <c r="D128" s="118">
        <v>78705100</v>
      </c>
      <c r="E128" s="117" t="s">
        <v>280</v>
      </c>
      <c r="F128" s="122" t="s">
        <v>284</v>
      </c>
      <c r="G128" t="s">
        <v>281</v>
      </c>
      <c r="H128" s="120" t="e">
        <f t="shared" si="1"/>
        <v>#VALUE!</v>
      </c>
    </row>
    <row r="129" spans="1:8">
      <c r="A129" s="116">
        <v>37136</v>
      </c>
      <c r="B129" s="116">
        <v>11203</v>
      </c>
      <c r="C129" s="117" t="s">
        <v>279</v>
      </c>
      <c r="D129" s="118">
        <v>74885500</v>
      </c>
      <c r="E129" s="117" t="s">
        <v>280</v>
      </c>
      <c r="F129" s="122" t="s">
        <v>285</v>
      </c>
      <c r="G129" t="s">
        <v>281</v>
      </c>
      <c r="H129" s="120" t="e">
        <f t="shared" si="1"/>
        <v>#VALUE!</v>
      </c>
    </row>
    <row r="130" spans="1:8">
      <c r="A130" s="116">
        <v>37105</v>
      </c>
      <c r="B130" s="116">
        <v>11537</v>
      </c>
      <c r="C130" s="117" t="s">
        <v>279</v>
      </c>
      <c r="D130" s="118">
        <v>77032000</v>
      </c>
      <c r="E130" s="117" t="s">
        <v>280</v>
      </c>
      <c r="F130" s="122" t="s">
        <v>286</v>
      </c>
      <c r="G130" t="s">
        <v>281</v>
      </c>
      <c r="H130" s="120" t="e">
        <f t="shared" si="1"/>
        <v>#VALUE!</v>
      </c>
    </row>
    <row r="131" spans="1:8">
      <c r="A131" s="116">
        <v>37074</v>
      </c>
      <c r="B131" s="116">
        <v>11506</v>
      </c>
      <c r="C131" s="117" t="s">
        <v>279</v>
      </c>
      <c r="D131" s="118">
        <v>74047500</v>
      </c>
      <c r="E131" s="117" t="s">
        <v>280</v>
      </c>
      <c r="F131" s="122" t="s">
        <v>287</v>
      </c>
      <c r="G131" t="s">
        <v>281</v>
      </c>
      <c r="H131" s="120" t="e">
        <f t="shared" si="1"/>
        <v>#VALUE!</v>
      </c>
    </row>
    <row r="132" spans="1:8">
      <c r="A132" s="116">
        <v>37044</v>
      </c>
      <c r="B132" s="116">
        <v>11111</v>
      </c>
      <c r="C132" s="117" t="s">
        <v>279</v>
      </c>
      <c r="D132" s="118">
        <v>69649500</v>
      </c>
      <c r="E132" s="117" t="s">
        <v>280</v>
      </c>
      <c r="F132" s="122" t="s">
        <v>288</v>
      </c>
      <c r="G132" t="s">
        <v>281</v>
      </c>
      <c r="H132" s="120" t="e">
        <f t="shared" si="1"/>
        <v>#VALUE!</v>
      </c>
    </row>
    <row r="133" spans="1:8">
      <c r="A133" s="116">
        <v>37013</v>
      </c>
      <c r="B133" s="116">
        <v>11445</v>
      </c>
      <c r="C133" s="117" t="s">
        <v>279</v>
      </c>
      <c r="D133" s="118">
        <v>67689200</v>
      </c>
      <c r="E133" s="117" t="s">
        <v>280</v>
      </c>
      <c r="F133" s="122" t="s">
        <v>289</v>
      </c>
      <c r="G133" t="s">
        <v>281</v>
      </c>
      <c r="H133" s="120" t="e">
        <f t="shared" ref="H133:H196" si="2">+D133/F133</f>
        <v>#VALUE!</v>
      </c>
    </row>
    <row r="134" spans="1:8">
      <c r="A134" s="116">
        <v>36983</v>
      </c>
      <c r="B134" s="116">
        <v>11050</v>
      </c>
      <c r="C134" s="117" t="s">
        <v>279</v>
      </c>
      <c r="D134" s="118">
        <v>65877200</v>
      </c>
      <c r="E134" s="117" t="s">
        <v>280</v>
      </c>
      <c r="F134" s="122" t="s">
        <v>290</v>
      </c>
      <c r="G134" t="s">
        <v>281</v>
      </c>
      <c r="H134" s="120" t="e">
        <f t="shared" si="2"/>
        <v>#VALUE!</v>
      </c>
    </row>
    <row r="135" spans="1:8">
      <c r="A135" s="116">
        <v>36952</v>
      </c>
      <c r="B135" s="116">
        <v>11384</v>
      </c>
      <c r="C135" s="117" t="s">
        <v>279</v>
      </c>
      <c r="D135" s="118">
        <v>63239500</v>
      </c>
      <c r="E135" s="117" t="s">
        <v>280</v>
      </c>
      <c r="F135" s="122" t="s">
        <v>291</v>
      </c>
      <c r="G135" t="s">
        <v>281</v>
      </c>
      <c r="H135" s="120" t="e">
        <f t="shared" si="2"/>
        <v>#VALUE!</v>
      </c>
    </row>
    <row r="136" spans="1:8">
      <c r="A136" s="116">
        <v>36924</v>
      </c>
      <c r="B136" s="116">
        <v>46785</v>
      </c>
      <c r="C136" s="117" t="s">
        <v>279</v>
      </c>
      <c r="D136" s="118">
        <v>58481700</v>
      </c>
      <c r="E136" s="117" t="s">
        <v>280</v>
      </c>
      <c r="F136" s="122" t="s">
        <v>292</v>
      </c>
      <c r="G136" t="s">
        <v>281</v>
      </c>
      <c r="H136" s="120" t="e">
        <f t="shared" si="2"/>
        <v>#VALUE!</v>
      </c>
    </row>
    <row r="137" spans="1:8">
      <c r="A137" s="116">
        <v>36893</v>
      </c>
      <c r="B137" s="116">
        <v>11325</v>
      </c>
      <c r="C137" s="117" t="s">
        <v>279</v>
      </c>
      <c r="D137" s="118">
        <v>59425800</v>
      </c>
      <c r="E137" s="117" t="s">
        <v>280</v>
      </c>
      <c r="F137" s="122" t="s">
        <v>293</v>
      </c>
      <c r="G137" t="s">
        <v>281</v>
      </c>
      <c r="H137" s="120" t="e">
        <f t="shared" si="2"/>
        <v>#VALUE!</v>
      </c>
    </row>
    <row r="138" spans="1:8">
      <c r="A138" s="116">
        <v>37226</v>
      </c>
      <c r="B138" s="116">
        <v>11658</v>
      </c>
      <c r="C138" s="117" t="s">
        <v>279</v>
      </c>
      <c r="D138" s="118">
        <v>58558000</v>
      </c>
      <c r="E138" s="117" t="s">
        <v>280</v>
      </c>
      <c r="F138" s="122" t="s">
        <v>294</v>
      </c>
      <c r="G138" t="s">
        <v>281</v>
      </c>
      <c r="H138" s="120" t="e">
        <f t="shared" si="2"/>
        <v>#VALUE!</v>
      </c>
    </row>
    <row r="139" spans="1:8">
      <c r="A139" s="116">
        <v>37196</v>
      </c>
      <c r="B139" s="116">
        <v>11263</v>
      </c>
      <c r="C139" s="117" t="s">
        <v>279</v>
      </c>
      <c r="D139" s="118">
        <v>55978400</v>
      </c>
      <c r="E139" s="117" t="s">
        <v>280</v>
      </c>
      <c r="F139" s="122" t="s">
        <v>295</v>
      </c>
      <c r="G139" t="s">
        <v>281</v>
      </c>
      <c r="H139" s="120" t="e">
        <f t="shared" si="2"/>
        <v>#VALUE!</v>
      </c>
    </row>
    <row r="140" spans="1:8">
      <c r="A140" s="116">
        <v>37165</v>
      </c>
      <c r="B140" s="116">
        <v>11597</v>
      </c>
      <c r="C140" s="117" t="s">
        <v>279</v>
      </c>
      <c r="D140" s="118">
        <v>56239500</v>
      </c>
      <c r="E140" s="117" t="s">
        <v>280</v>
      </c>
      <c r="F140" s="122" t="s">
        <v>296</v>
      </c>
      <c r="G140" t="s">
        <v>281</v>
      </c>
      <c r="H140" s="120" t="e">
        <f t="shared" si="2"/>
        <v>#VALUE!</v>
      </c>
    </row>
    <row r="141" spans="1:8">
      <c r="A141" s="116">
        <v>37135</v>
      </c>
      <c r="B141" s="116">
        <v>11202</v>
      </c>
      <c r="C141" s="117" t="s">
        <v>279</v>
      </c>
      <c r="D141" s="118">
        <v>60813300</v>
      </c>
      <c r="E141" s="117" t="s">
        <v>280</v>
      </c>
      <c r="F141" s="122" t="s">
        <v>297</v>
      </c>
      <c r="G141" t="s">
        <v>281</v>
      </c>
      <c r="H141" s="120" t="e">
        <f t="shared" si="2"/>
        <v>#VALUE!</v>
      </c>
    </row>
    <row r="142" spans="1:8">
      <c r="A142" s="116">
        <v>37104</v>
      </c>
      <c r="B142" s="116">
        <v>11536</v>
      </c>
      <c r="C142" s="117" t="s">
        <v>279</v>
      </c>
      <c r="D142" s="118">
        <v>61718100</v>
      </c>
      <c r="E142" s="117" t="s">
        <v>280</v>
      </c>
      <c r="F142" s="122" t="s">
        <v>298</v>
      </c>
      <c r="G142" t="s">
        <v>281</v>
      </c>
      <c r="H142" s="120" t="e">
        <f t="shared" si="2"/>
        <v>#VALUE!</v>
      </c>
    </row>
    <row r="143" spans="1:8">
      <c r="A143" s="116">
        <v>37073</v>
      </c>
      <c r="B143" s="116">
        <v>11505</v>
      </c>
      <c r="C143" s="117" t="s">
        <v>279</v>
      </c>
      <c r="D143" s="118">
        <v>64118300</v>
      </c>
      <c r="E143" s="117" t="s">
        <v>280</v>
      </c>
      <c r="F143" s="122" t="s">
        <v>299</v>
      </c>
      <c r="G143" t="s">
        <v>281</v>
      </c>
      <c r="H143" s="120" t="e">
        <f t="shared" si="2"/>
        <v>#VALUE!</v>
      </c>
    </row>
    <row r="144" spans="1:8">
      <c r="A144" s="116">
        <v>37043</v>
      </c>
      <c r="B144" s="116">
        <v>11110</v>
      </c>
      <c r="C144" s="117" t="s">
        <v>279</v>
      </c>
      <c r="D144" s="118">
        <v>64988400</v>
      </c>
      <c r="E144" s="117" t="s">
        <v>280</v>
      </c>
      <c r="F144" s="122" t="s">
        <v>300</v>
      </c>
      <c r="G144" t="s">
        <v>281</v>
      </c>
      <c r="H144" s="120" t="e">
        <f t="shared" si="2"/>
        <v>#VALUE!</v>
      </c>
    </row>
    <row r="145" spans="1:8">
      <c r="A145" s="116">
        <v>37012</v>
      </c>
      <c r="B145" s="116">
        <v>11444</v>
      </c>
      <c r="C145" s="117" t="s">
        <v>279</v>
      </c>
      <c r="D145" s="118">
        <v>70945200</v>
      </c>
      <c r="E145" s="117" t="s">
        <v>280</v>
      </c>
      <c r="F145" s="122" t="s">
        <v>301</v>
      </c>
      <c r="G145" t="s">
        <v>281</v>
      </c>
      <c r="H145" s="120" t="e">
        <f t="shared" si="2"/>
        <v>#VALUE!</v>
      </c>
    </row>
    <row r="146" spans="1:8">
      <c r="A146" s="116">
        <v>36982</v>
      </c>
      <c r="B146" s="116">
        <v>11049</v>
      </c>
      <c r="C146" s="117" t="s">
        <v>279</v>
      </c>
      <c r="D146" s="118">
        <v>71448200</v>
      </c>
      <c r="E146" s="117" t="s">
        <v>280</v>
      </c>
      <c r="F146" s="122" t="s">
        <v>302</v>
      </c>
      <c r="G146" t="s">
        <v>281</v>
      </c>
      <c r="H146" s="120" t="e">
        <f t="shared" si="2"/>
        <v>#VALUE!</v>
      </c>
    </row>
    <row r="147" spans="1:8">
      <c r="A147" s="116">
        <v>36951</v>
      </c>
      <c r="B147" s="116">
        <v>11383</v>
      </c>
      <c r="C147" s="117" t="s">
        <v>279</v>
      </c>
      <c r="D147" s="118">
        <v>72936600</v>
      </c>
      <c r="E147" s="117" t="s">
        <v>280</v>
      </c>
      <c r="F147" s="122" t="s">
        <v>303</v>
      </c>
      <c r="G147" t="s">
        <v>281</v>
      </c>
      <c r="H147" s="120" t="e">
        <f t="shared" si="2"/>
        <v>#VALUE!</v>
      </c>
    </row>
    <row r="148" spans="1:8">
      <c r="A148" s="116">
        <v>36923</v>
      </c>
      <c r="B148" s="116">
        <v>46784</v>
      </c>
      <c r="C148" s="117" t="s">
        <v>279</v>
      </c>
      <c r="D148" s="118">
        <v>73822300</v>
      </c>
      <c r="E148" s="117" t="s">
        <v>280</v>
      </c>
      <c r="F148" s="122" t="s">
        <v>304</v>
      </c>
      <c r="G148" t="s">
        <v>281</v>
      </c>
      <c r="H148" s="120" t="e">
        <f t="shared" si="2"/>
        <v>#VALUE!</v>
      </c>
    </row>
    <row r="149" spans="1:8">
      <c r="A149" s="116">
        <v>36892</v>
      </c>
      <c r="B149" s="116">
        <v>11324</v>
      </c>
      <c r="C149" s="117" t="s">
        <v>279</v>
      </c>
      <c r="D149" s="118">
        <v>74153100</v>
      </c>
      <c r="E149" s="117" t="s">
        <v>280</v>
      </c>
      <c r="F149" s="122" t="s">
        <v>305</v>
      </c>
      <c r="G149" t="s">
        <v>281</v>
      </c>
      <c r="H149" s="120" t="e">
        <f t="shared" si="2"/>
        <v>#VALUE!</v>
      </c>
    </row>
    <row r="150" spans="1:8">
      <c r="A150" s="117" t="s">
        <v>306</v>
      </c>
      <c r="B150" s="117" t="s">
        <v>307</v>
      </c>
      <c r="C150" s="117" t="s">
        <v>279</v>
      </c>
      <c r="D150" s="118">
        <v>67736200</v>
      </c>
      <c r="E150" s="117" t="s">
        <v>280</v>
      </c>
      <c r="F150" s="122" t="s">
        <v>308</v>
      </c>
      <c r="G150" t="s">
        <v>281</v>
      </c>
      <c r="H150" s="120" t="e">
        <f t="shared" si="2"/>
        <v>#VALUE!</v>
      </c>
    </row>
    <row r="151" spans="1:8">
      <c r="A151" s="117" t="s">
        <v>309</v>
      </c>
      <c r="B151" s="117" t="s">
        <v>310</v>
      </c>
      <c r="C151" s="117" t="s">
        <v>279</v>
      </c>
      <c r="D151" s="118">
        <v>66681900</v>
      </c>
      <c r="E151" s="117" t="s">
        <v>280</v>
      </c>
      <c r="F151" s="122" t="s">
        <v>311</v>
      </c>
      <c r="G151" t="s">
        <v>281</v>
      </c>
      <c r="H151" s="120" t="e">
        <f t="shared" si="2"/>
        <v>#VALUE!</v>
      </c>
    </row>
    <row r="152" spans="1:8">
      <c r="A152" s="117" t="s">
        <v>312</v>
      </c>
      <c r="B152" s="117" t="s">
        <v>313</v>
      </c>
      <c r="C152" s="117" t="s">
        <v>279</v>
      </c>
      <c r="D152" s="118">
        <v>62977400</v>
      </c>
      <c r="E152" s="117" t="s">
        <v>280</v>
      </c>
      <c r="F152" s="122" t="s">
        <v>314</v>
      </c>
      <c r="G152" t="s">
        <v>281</v>
      </c>
      <c r="H152" s="120" t="e">
        <f t="shared" si="2"/>
        <v>#VALUE!</v>
      </c>
    </row>
    <row r="153" spans="1:8">
      <c r="A153" s="117" t="s">
        <v>315</v>
      </c>
      <c r="B153" s="117" t="s">
        <v>316</v>
      </c>
      <c r="C153" s="117" t="s">
        <v>279</v>
      </c>
      <c r="D153" s="118">
        <v>54107100</v>
      </c>
      <c r="E153" s="117" t="s">
        <v>280</v>
      </c>
      <c r="F153" s="122" t="s">
        <v>317</v>
      </c>
      <c r="G153" t="s">
        <v>281</v>
      </c>
      <c r="H153" s="120" t="e">
        <f t="shared" si="2"/>
        <v>#VALUE!</v>
      </c>
    </row>
    <row r="154" spans="1:8">
      <c r="A154" s="117" t="s">
        <v>318</v>
      </c>
      <c r="B154" s="117" t="s">
        <v>319</v>
      </c>
      <c r="C154" s="117" t="s">
        <v>279</v>
      </c>
      <c r="D154" s="118">
        <v>54275000</v>
      </c>
      <c r="E154" s="117" t="s">
        <v>280</v>
      </c>
      <c r="F154" s="122" t="s">
        <v>320</v>
      </c>
      <c r="G154" t="s">
        <v>281</v>
      </c>
      <c r="H154" s="120" t="e">
        <f t="shared" si="2"/>
        <v>#VALUE!</v>
      </c>
    </row>
    <row r="155" spans="1:8">
      <c r="A155" s="117" t="s">
        <v>321</v>
      </c>
      <c r="B155" s="117" t="s">
        <v>322</v>
      </c>
      <c r="C155" s="117" t="s">
        <v>279</v>
      </c>
      <c r="D155" s="118">
        <v>55807900</v>
      </c>
      <c r="E155" s="117" t="s">
        <v>280</v>
      </c>
      <c r="F155" s="122" t="s">
        <v>323</v>
      </c>
      <c r="G155" t="s">
        <v>281</v>
      </c>
      <c r="H155" s="120" t="e">
        <f t="shared" si="2"/>
        <v>#VALUE!</v>
      </c>
    </row>
    <row r="156" spans="1:8">
      <c r="A156" s="117" t="s">
        <v>324</v>
      </c>
      <c r="B156" s="117" t="s">
        <v>325</v>
      </c>
      <c r="C156" s="117" t="s">
        <v>279</v>
      </c>
      <c r="D156" s="118">
        <v>46949100</v>
      </c>
      <c r="E156" s="117" t="s">
        <v>280</v>
      </c>
      <c r="F156" s="122" t="s">
        <v>326</v>
      </c>
      <c r="G156" t="s">
        <v>281</v>
      </c>
      <c r="H156" s="120" t="e">
        <f t="shared" si="2"/>
        <v>#VALUE!</v>
      </c>
    </row>
    <row r="157" spans="1:8">
      <c r="A157" s="117" t="s">
        <v>327</v>
      </c>
      <c r="B157" s="117" t="s">
        <v>328</v>
      </c>
      <c r="C157" s="117" t="s">
        <v>279</v>
      </c>
      <c r="D157" s="118">
        <v>43825000</v>
      </c>
      <c r="E157" s="117" t="s">
        <v>280</v>
      </c>
      <c r="F157" s="122" t="s">
        <v>303</v>
      </c>
      <c r="G157" t="s">
        <v>281</v>
      </c>
      <c r="H157" s="120" t="e">
        <f t="shared" si="2"/>
        <v>#VALUE!</v>
      </c>
    </row>
    <row r="158" spans="1:8">
      <c r="A158" s="117" t="s">
        <v>329</v>
      </c>
      <c r="B158" s="117" t="s">
        <v>330</v>
      </c>
      <c r="C158" s="117" t="s">
        <v>279</v>
      </c>
      <c r="D158" s="118">
        <v>45929700</v>
      </c>
      <c r="E158" s="117" t="s">
        <v>280</v>
      </c>
      <c r="F158" s="122" t="s">
        <v>331</v>
      </c>
      <c r="G158" t="s">
        <v>281</v>
      </c>
      <c r="H158" s="120" t="e">
        <f t="shared" si="2"/>
        <v>#VALUE!</v>
      </c>
    </row>
    <row r="159" spans="1:8">
      <c r="A159" s="117" t="s">
        <v>332</v>
      </c>
      <c r="B159" s="117" t="s">
        <v>333</v>
      </c>
      <c r="C159" s="117" t="s">
        <v>279</v>
      </c>
      <c r="D159" s="118">
        <v>44889900</v>
      </c>
      <c r="E159" s="117" t="s">
        <v>280</v>
      </c>
      <c r="F159" s="122" t="s">
        <v>334</v>
      </c>
      <c r="G159" t="s">
        <v>281</v>
      </c>
      <c r="H159" s="120" t="e">
        <f t="shared" si="2"/>
        <v>#VALUE!</v>
      </c>
    </row>
    <row r="160" spans="1:8">
      <c r="A160" s="117" t="s">
        <v>335</v>
      </c>
      <c r="B160" s="117" t="s">
        <v>336</v>
      </c>
      <c r="C160" s="117" t="s">
        <v>279</v>
      </c>
      <c r="D160" s="118">
        <v>46836500</v>
      </c>
      <c r="E160" s="117" t="s">
        <v>280</v>
      </c>
      <c r="F160" s="122" t="s">
        <v>337</v>
      </c>
      <c r="G160" t="s">
        <v>281</v>
      </c>
      <c r="H160" s="120" t="e">
        <f t="shared" si="2"/>
        <v>#VALUE!</v>
      </c>
    </row>
    <row r="161" spans="1:8">
      <c r="A161" s="117" t="s">
        <v>338</v>
      </c>
      <c r="B161" s="117" t="s">
        <v>339</v>
      </c>
      <c r="C161" s="117" t="s">
        <v>279</v>
      </c>
      <c r="D161" s="118">
        <v>47054000</v>
      </c>
      <c r="E161" s="117" t="s">
        <v>280</v>
      </c>
      <c r="F161" s="119">
        <v>1007200</v>
      </c>
      <c r="G161" t="s">
        <v>281</v>
      </c>
      <c r="H161" s="120">
        <f t="shared" si="2"/>
        <v>46.717633042096899</v>
      </c>
    </row>
    <row r="162" spans="1:8">
      <c r="A162" s="117" t="s">
        <v>340</v>
      </c>
      <c r="B162" s="117" t="s">
        <v>341</v>
      </c>
      <c r="C162" s="117" t="s">
        <v>279</v>
      </c>
      <c r="D162" s="118">
        <v>47245800</v>
      </c>
      <c r="E162" s="117" t="s">
        <v>280</v>
      </c>
      <c r="F162" s="119">
        <v>1007700</v>
      </c>
      <c r="G162" t="s">
        <v>281</v>
      </c>
      <c r="H162" s="120">
        <f t="shared" si="2"/>
        <v>46.88478713902947</v>
      </c>
    </row>
    <row r="163" spans="1:8">
      <c r="A163" s="117" t="s">
        <v>342</v>
      </c>
      <c r="B163" s="117" t="s">
        <v>343</v>
      </c>
      <c r="C163" s="117" t="s">
        <v>279</v>
      </c>
      <c r="D163" s="118">
        <v>48012200</v>
      </c>
      <c r="E163" s="117" t="s">
        <v>280</v>
      </c>
      <c r="F163" s="119">
        <v>1053400</v>
      </c>
      <c r="G163" t="s">
        <v>281</v>
      </c>
      <c r="H163" s="120">
        <f t="shared" si="2"/>
        <v>45.578317827985572</v>
      </c>
    </row>
    <row r="164" spans="1:8">
      <c r="A164" s="117" t="s">
        <v>344</v>
      </c>
      <c r="B164" s="117" t="s">
        <v>345</v>
      </c>
      <c r="C164" s="117" t="s">
        <v>279</v>
      </c>
      <c r="D164" s="118">
        <v>45694700</v>
      </c>
      <c r="E164" s="117" t="s">
        <v>280</v>
      </c>
      <c r="F164" s="119">
        <v>1056300</v>
      </c>
      <c r="G164" t="s">
        <v>281</v>
      </c>
      <c r="H164" s="120">
        <f t="shared" si="2"/>
        <v>43.259206664773266</v>
      </c>
    </row>
    <row r="165" spans="1:8">
      <c r="A165" s="117" t="s">
        <v>346</v>
      </c>
      <c r="B165" s="117" t="s">
        <v>347</v>
      </c>
      <c r="C165" s="117" t="s">
        <v>279</v>
      </c>
      <c r="D165" s="118">
        <v>46041600</v>
      </c>
      <c r="E165" s="117" t="s">
        <v>280</v>
      </c>
      <c r="F165" s="119">
        <v>1045400</v>
      </c>
      <c r="G165" t="s">
        <v>281</v>
      </c>
      <c r="H165" s="120">
        <f t="shared" si="2"/>
        <v>44.042089152477523</v>
      </c>
    </row>
    <row r="166" spans="1:8">
      <c r="A166" s="117" t="s">
        <v>348</v>
      </c>
      <c r="B166" s="117" t="s">
        <v>349</v>
      </c>
      <c r="C166" s="117" t="s">
        <v>279</v>
      </c>
      <c r="D166" s="118">
        <v>46109700</v>
      </c>
      <c r="E166" s="117" t="s">
        <v>280</v>
      </c>
      <c r="F166" s="119">
        <v>1068000</v>
      </c>
      <c r="G166" t="s">
        <v>281</v>
      </c>
      <c r="H166" s="120">
        <f t="shared" si="2"/>
        <v>43.173876404494379</v>
      </c>
    </row>
    <row r="167" spans="1:8">
      <c r="A167" s="117" t="s">
        <v>350</v>
      </c>
      <c r="B167" s="117" t="s">
        <v>351</v>
      </c>
      <c r="C167" s="117" t="s">
        <v>279</v>
      </c>
      <c r="D167" s="118">
        <v>44864000</v>
      </c>
      <c r="E167" s="117" t="s">
        <v>280</v>
      </c>
      <c r="F167" s="119">
        <v>1036400</v>
      </c>
      <c r="G167" t="s">
        <v>281</v>
      </c>
      <c r="H167" s="120">
        <f t="shared" si="2"/>
        <v>43.288305673485141</v>
      </c>
    </row>
    <row r="168" spans="1:8">
      <c r="A168" s="117" t="s">
        <v>352</v>
      </c>
      <c r="B168" s="117" t="s">
        <v>353</v>
      </c>
      <c r="C168" s="117" t="s">
        <v>279</v>
      </c>
      <c r="D168" s="118">
        <v>46323700</v>
      </c>
      <c r="E168" s="117" t="s">
        <v>280</v>
      </c>
      <c r="F168" s="119">
        <v>1047900</v>
      </c>
      <c r="G168" t="s">
        <v>281</v>
      </c>
      <c r="H168" s="120">
        <f t="shared" si="2"/>
        <v>44.206221967745016</v>
      </c>
    </row>
    <row r="169" spans="1:8">
      <c r="A169" s="117" t="s">
        <v>354</v>
      </c>
      <c r="B169" s="117" t="s">
        <v>355</v>
      </c>
      <c r="C169" s="117" t="s">
        <v>279</v>
      </c>
      <c r="D169" s="118">
        <v>46687900</v>
      </c>
      <c r="E169" s="117" t="s">
        <v>280</v>
      </c>
      <c r="F169" s="119">
        <v>1060400</v>
      </c>
      <c r="G169" t="s">
        <v>281</v>
      </c>
      <c r="H169" s="120">
        <f t="shared" si="2"/>
        <v>44.028574122972465</v>
      </c>
    </row>
    <row r="170" spans="1:8">
      <c r="A170" s="117" t="s">
        <v>356</v>
      </c>
      <c r="B170" s="117" t="s">
        <v>357</v>
      </c>
      <c r="C170" s="117" t="s">
        <v>279</v>
      </c>
      <c r="D170" s="118">
        <v>47994300</v>
      </c>
      <c r="E170" s="117" t="s">
        <v>280</v>
      </c>
      <c r="F170" s="119">
        <v>1071100</v>
      </c>
      <c r="G170" t="s">
        <v>281</v>
      </c>
      <c r="H170" s="120">
        <f t="shared" si="2"/>
        <v>44.808421249183084</v>
      </c>
    </row>
    <row r="171" spans="1:8">
      <c r="A171" s="117" t="s">
        <v>358</v>
      </c>
      <c r="B171" s="117" t="s">
        <v>359</v>
      </c>
      <c r="C171" s="117" t="s">
        <v>279</v>
      </c>
      <c r="D171" s="118">
        <v>48690000</v>
      </c>
      <c r="E171" s="117" t="s">
        <v>280</v>
      </c>
      <c r="F171" s="119">
        <v>1103100</v>
      </c>
      <c r="G171" t="s">
        <v>281</v>
      </c>
      <c r="H171" s="120">
        <f t="shared" si="2"/>
        <v>44.139243948871361</v>
      </c>
    </row>
    <row r="172" spans="1:8">
      <c r="A172" s="117" t="s">
        <v>360</v>
      </c>
      <c r="B172" s="117" t="s">
        <v>361</v>
      </c>
      <c r="C172" s="117" t="s">
        <v>279</v>
      </c>
      <c r="D172" s="118">
        <v>50505100</v>
      </c>
      <c r="E172" s="117" t="s">
        <v>280</v>
      </c>
      <c r="F172" s="119">
        <v>1141000</v>
      </c>
      <c r="G172" t="s">
        <v>281</v>
      </c>
      <c r="H172" s="120">
        <f t="shared" si="2"/>
        <v>44.263891323400529</v>
      </c>
    </row>
    <row r="173" spans="1:8">
      <c r="A173" s="117" t="s">
        <v>362</v>
      </c>
      <c r="B173" s="117" t="s">
        <v>363</v>
      </c>
      <c r="C173" s="117" t="s">
        <v>279</v>
      </c>
      <c r="D173" s="118">
        <v>52669600</v>
      </c>
      <c r="E173" s="117" t="s">
        <v>280</v>
      </c>
      <c r="F173" s="119">
        <v>1166750</v>
      </c>
      <c r="G173" t="s">
        <v>281</v>
      </c>
      <c r="H173" s="120">
        <f t="shared" si="2"/>
        <v>45.142146989500752</v>
      </c>
    </row>
    <row r="174" spans="1:8">
      <c r="A174" s="117" t="s">
        <v>364</v>
      </c>
      <c r="B174" s="117" t="s">
        <v>365</v>
      </c>
      <c r="C174" s="117" t="s">
        <v>366</v>
      </c>
      <c r="D174" s="118">
        <v>51058500</v>
      </c>
      <c r="E174" s="117" t="s">
        <v>367</v>
      </c>
      <c r="F174" s="119">
        <v>1150740</v>
      </c>
      <c r="G174" t="s">
        <v>281</v>
      </c>
      <c r="H174" s="120">
        <f t="shared" si="2"/>
        <v>44.370144428802334</v>
      </c>
    </row>
    <row r="175" spans="1:8">
      <c r="A175" s="117" t="s">
        <v>368</v>
      </c>
      <c r="B175" s="117" t="s">
        <v>369</v>
      </c>
      <c r="C175" s="117" t="s">
        <v>366</v>
      </c>
      <c r="D175" s="118">
        <v>50799100</v>
      </c>
      <c r="E175" s="117" t="s">
        <v>367</v>
      </c>
      <c r="F175" s="119">
        <v>1185320</v>
      </c>
      <c r="G175" t="s">
        <v>281</v>
      </c>
      <c r="H175" s="120">
        <f t="shared" si="2"/>
        <v>42.856865656531568</v>
      </c>
    </row>
    <row r="176" spans="1:8">
      <c r="A176" s="117" t="s">
        <v>370</v>
      </c>
      <c r="B176" s="117" t="s">
        <v>371</v>
      </c>
      <c r="C176" s="117" t="s">
        <v>366</v>
      </c>
      <c r="D176" s="118">
        <v>46280600</v>
      </c>
      <c r="E176" s="117" t="s">
        <v>367</v>
      </c>
      <c r="F176" s="119">
        <v>1172980</v>
      </c>
      <c r="G176" t="s">
        <v>281</v>
      </c>
      <c r="H176" s="120">
        <f t="shared" si="2"/>
        <v>39.455574690105543</v>
      </c>
    </row>
    <row r="177" spans="1:8">
      <c r="A177" s="117" t="s">
        <v>372</v>
      </c>
      <c r="B177" s="117" t="s">
        <v>373</v>
      </c>
      <c r="C177" s="117" t="s">
        <v>366</v>
      </c>
      <c r="D177" s="118">
        <v>43942600</v>
      </c>
      <c r="E177" s="117" t="s">
        <v>367</v>
      </c>
      <c r="F177" s="119">
        <v>1101340</v>
      </c>
      <c r="G177" t="s">
        <v>281</v>
      </c>
      <c r="H177" s="120">
        <f t="shared" si="2"/>
        <v>39.899213685147181</v>
      </c>
    </row>
    <row r="178" spans="1:8">
      <c r="A178" s="117" t="s">
        <v>374</v>
      </c>
      <c r="B178" s="117" t="s">
        <v>375</v>
      </c>
      <c r="C178" s="117" t="s">
        <v>366</v>
      </c>
      <c r="D178" s="118">
        <v>29760000</v>
      </c>
      <c r="E178" s="117" t="s">
        <v>367</v>
      </c>
      <c r="F178" s="119">
        <v>1115160</v>
      </c>
      <c r="G178" t="s">
        <v>281</v>
      </c>
      <c r="H178" s="120">
        <f t="shared" si="2"/>
        <v>26.686753470354031</v>
      </c>
    </row>
    <row r="179" spans="1:8">
      <c r="A179" s="117" t="s">
        <v>376</v>
      </c>
      <c r="B179" s="117" t="s">
        <v>377</v>
      </c>
      <c r="C179" s="117" t="s">
        <v>366</v>
      </c>
      <c r="D179" s="118">
        <v>29120900</v>
      </c>
      <c r="E179" s="117" t="s">
        <v>367</v>
      </c>
      <c r="F179" s="119">
        <v>1093250</v>
      </c>
      <c r="G179" t="s">
        <v>281</v>
      </c>
      <c r="H179" s="120">
        <f t="shared" si="2"/>
        <v>26.636999771324035</v>
      </c>
    </row>
    <row r="180" spans="1:8">
      <c r="A180" s="117" t="s">
        <v>378</v>
      </c>
      <c r="B180" s="117" t="s">
        <v>379</v>
      </c>
      <c r="C180" s="117" t="s">
        <v>366</v>
      </c>
      <c r="D180" s="118">
        <v>30302000</v>
      </c>
      <c r="E180" s="117" t="s">
        <v>367</v>
      </c>
      <c r="F180" s="119">
        <v>1101910</v>
      </c>
      <c r="G180" t="s">
        <v>281</v>
      </c>
      <c r="H180" s="120">
        <f t="shared" si="2"/>
        <v>27.499523554555271</v>
      </c>
    </row>
    <row r="181" spans="1:8">
      <c r="A181" s="117" t="s">
        <v>380</v>
      </c>
      <c r="B181" s="117" t="s">
        <v>381</v>
      </c>
      <c r="C181" s="117" t="s">
        <v>366</v>
      </c>
      <c r="D181" s="118">
        <v>28650400</v>
      </c>
      <c r="E181" s="117" t="s">
        <v>367</v>
      </c>
      <c r="F181" s="119">
        <v>1097800</v>
      </c>
      <c r="G181" t="s">
        <v>281</v>
      </c>
      <c r="H181" s="120">
        <f t="shared" si="2"/>
        <v>26.098014210238659</v>
      </c>
    </row>
    <row r="182" spans="1:8">
      <c r="A182" s="117" t="s">
        <v>382</v>
      </c>
      <c r="B182" s="117" t="s">
        <v>383</v>
      </c>
      <c r="C182" s="117" t="s">
        <v>366</v>
      </c>
      <c r="D182" s="118">
        <v>27200500</v>
      </c>
      <c r="E182" s="117" t="s">
        <v>367</v>
      </c>
      <c r="F182" s="119">
        <v>1082640</v>
      </c>
      <c r="G182" t="s">
        <v>281</v>
      </c>
      <c r="H182" s="120">
        <f t="shared" si="2"/>
        <v>25.124233355501367</v>
      </c>
    </row>
    <row r="183" spans="1:8">
      <c r="A183" s="117" t="s">
        <v>384</v>
      </c>
      <c r="B183" s="117" t="s">
        <v>385</v>
      </c>
      <c r="C183" s="117" t="s">
        <v>366</v>
      </c>
      <c r="D183" s="118">
        <v>24752800</v>
      </c>
      <c r="E183" s="117" t="s">
        <v>367</v>
      </c>
      <c r="F183" s="119">
        <v>1086850</v>
      </c>
      <c r="G183" t="s">
        <v>281</v>
      </c>
      <c r="H183" s="120">
        <f t="shared" si="2"/>
        <v>22.774807931177257</v>
      </c>
    </row>
    <row r="184" spans="1:8">
      <c r="A184" s="117" t="s">
        <v>386</v>
      </c>
      <c r="B184" s="117" t="s">
        <v>387</v>
      </c>
      <c r="C184" s="117" t="s">
        <v>366</v>
      </c>
      <c r="D184" s="118">
        <v>23306900</v>
      </c>
      <c r="E184" s="117" t="s">
        <v>367</v>
      </c>
      <c r="F184" s="119">
        <v>1091790</v>
      </c>
      <c r="G184" t="s">
        <v>281</v>
      </c>
      <c r="H184" s="120">
        <f t="shared" si="2"/>
        <v>21.347420291447989</v>
      </c>
    </row>
    <row r="185" spans="1:8">
      <c r="A185" s="117" t="s">
        <v>388</v>
      </c>
      <c r="B185" s="117" t="s">
        <v>389</v>
      </c>
      <c r="C185" s="117" t="s">
        <v>366</v>
      </c>
      <c r="D185" s="118">
        <v>21447300</v>
      </c>
      <c r="E185" s="117" t="s">
        <v>367</v>
      </c>
      <c r="F185" s="119">
        <v>1103150</v>
      </c>
      <c r="G185" t="s">
        <v>281</v>
      </c>
      <c r="H185" s="120">
        <f t="shared" si="2"/>
        <v>19.441871005756244</v>
      </c>
    </row>
    <row r="186" spans="1:8">
      <c r="A186" s="117" t="s">
        <v>390</v>
      </c>
      <c r="B186" s="117" t="s">
        <v>391</v>
      </c>
      <c r="C186" s="117" t="s">
        <v>366</v>
      </c>
      <c r="D186" s="118">
        <v>20358400</v>
      </c>
      <c r="E186" s="117" t="s">
        <v>367</v>
      </c>
      <c r="F186" s="119">
        <v>1120350</v>
      </c>
      <c r="G186" t="s">
        <v>281</v>
      </c>
      <c r="H186" s="120">
        <f t="shared" si="2"/>
        <v>18.171464274557056</v>
      </c>
    </row>
    <row r="187" spans="1:8">
      <c r="A187" s="117" t="s">
        <v>392</v>
      </c>
      <c r="B187" s="117" t="s">
        <v>393</v>
      </c>
      <c r="C187" s="117" t="s">
        <v>366</v>
      </c>
      <c r="D187" s="118">
        <v>19405800</v>
      </c>
      <c r="E187" s="117" t="s">
        <v>367</v>
      </c>
      <c r="F187" s="119">
        <v>1147710</v>
      </c>
      <c r="G187" t="s">
        <v>281</v>
      </c>
      <c r="H187" s="120">
        <f t="shared" si="2"/>
        <v>16.908278223593069</v>
      </c>
    </row>
    <row r="188" spans="1:8">
      <c r="A188" s="117" t="s">
        <v>394</v>
      </c>
      <c r="B188" s="117" t="s">
        <v>395</v>
      </c>
      <c r="C188" s="117" t="s">
        <v>366</v>
      </c>
      <c r="D188" s="118">
        <v>19367300</v>
      </c>
      <c r="E188" s="117" t="s">
        <v>367</v>
      </c>
      <c r="F188" s="119">
        <v>1115500</v>
      </c>
      <c r="G188" t="s">
        <v>281</v>
      </c>
      <c r="H188" s="120">
        <f t="shared" si="2"/>
        <v>17.361990138951143</v>
      </c>
    </row>
    <row r="189" spans="1:8">
      <c r="A189" s="117" t="s">
        <v>396</v>
      </c>
      <c r="B189" s="117" t="s">
        <v>397</v>
      </c>
      <c r="C189" s="117" t="s">
        <v>366</v>
      </c>
      <c r="D189" s="118">
        <v>18711800</v>
      </c>
      <c r="E189" s="117" t="s">
        <v>367</v>
      </c>
      <c r="F189" s="119">
        <v>1092840</v>
      </c>
      <c r="G189" t="s">
        <v>281</v>
      </c>
      <c r="H189" s="120">
        <f t="shared" si="2"/>
        <v>17.122177079901906</v>
      </c>
    </row>
    <row r="190" spans="1:8">
      <c r="A190" s="117" t="s">
        <v>398</v>
      </c>
      <c r="B190" s="117" t="s">
        <v>399</v>
      </c>
      <c r="C190" s="117" t="s">
        <v>366</v>
      </c>
      <c r="D190" s="118">
        <v>17597900</v>
      </c>
      <c r="E190" s="117" t="s">
        <v>367</v>
      </c>
      <c r="F190" s="119">
        <v>1073540</v>
      </c>
      <c r="G190" t="s">
        <v>281</v>
      </c>
      <c r="H190" s="120">
        <f t="shared" si="2"/>
        <v>16.392402705069209</v>
      </c>
    </row>
    <row r="191" spans="1:8">
      <c r="A191" s="117" t="s">
        <v>400</v>
      </c>
      <c r="B191" s="117" t="s">
        <v>401</v>
      </c>
      <c r="C191" s="117" t="s">
        <v>366</v>
      </c>
      <c r="D191" s="118">
        <v>17519200</v>
      </c>
      <c r="E191" s="117" t="s">
        <v>367</v>
      </c>
      <c r="F191" s="119">
        <v>1136330</v>
      </c>
      <c r="G191" t="s">
        <v>281</v>
      </c>
      <c r="H191" s="120">
        <f t="shared" si="2"/>
        <v>15.417352353629667</v>
      </c>
    </row>
    <row r="192" spans="1:8">
      <c r="A192" s="117" t="s">
        <v>402</v>
      </c>
      <c r="B192" s="117" t="s">
        <v>403</v>
      </c>
      <c r="C192" s="117" t="s">
        <v>366</v>
      </c>
      <c r="D192" s="118">
        <v>17445100</v>
      </c>
      <c r="E192" s="117" t="s">
        <v>367</v>
      </c>
      <c r="F192" s="119">
        <v>1149190</v>
      </c>
      <c r="G192" t="s">
        <v>281</v>
      </c>
      <c r="H192" s="120">
        <f t="shared" si="2"/>
        <v>15.180344416502058</v>
      </c>
    </row>
    <row r="193" spans="1:8">
      <c r="A193" s="117" t="s">
        <v>404</v>
      </c>
      <c r="B193" s="117" t="s">
        <v>405</v>
      </c>
      <c r="C193" s="117" t="s">
        <v>366</v>
      </c>
      <c r="D193" s="118">
        <v>17528400</v>
      </c>
      <c r="E193" s="117" t="s">
        <v>367</v>
      </c>
      <c r="F193" s="119">
        <v>1131790</v>
      </c>
      <c r="G193" t="s">
        <v>281</v>
      </c>
      <c r="H193" s="120">
        <f t="shared" si="2"/>
        <v>15.487325387218476</v>
      </c>
    </row>
    <row r="194" spans="1:8">
      <c r="A194" s="117" t="s">
        <v>406</v>
      </c>
      <c r="B194" s="117" t="s">
        <v>407</v>
      </c>
      <c r="C194" s="117" t="s">
        <v>366</v>
      </c>
      <c r="D194" s="118">
        <v>17570500</v>
      </c>
      <c r="E194" s="117" t="s">
        <v>367</v>
      </c>
      <c r="F194" s="119">
        <v>1156240</v>
      </c>
      <c r="G194" t="s">
        <v>281</v>
      </c>
      <c r="H194" s="120">
        <f t="shared" si="2"/>
        <v>15.196239535044628</v>
      </c>
    </row>
    <row r="195" spans="1:8">
      <c r="A195" s="117" t="s">
        <v>408</v>
      </c>
      <c r="B195" s="117" t="s">
        <v>409</v>
      </c>
      <c r="C195" s="117" t="s">
        <v>366</v>
      </c>
      <c r="D195" s="118">
        <v>18475900</v>
      </c>
      <c r="E195" s="117" t="s">
        <v>367</v>
      </c>
      <c r="F195" s="119">
        <v>1155940</v>
      </c>
      <c r="G195" t="s">
        <v>281</v>
      </c>
      <c r="H195" s="120">
        <f t="shared" si="2"/>
        <v>15.983442047165077</v>
      </c>
    </row>
    <row r="196" spans="1:8">
      <c r="A196" s="117" t="s">
        <v>410</v>
      </c>
      <c r="B196" s="117" t="s">
        <v>411</v>
      </c>
      <c r="C196" s="117" t="s">
        <v>366</v>
      </c>
      <c r="D196" s="118">
        <v>18264100</v>
      </c>
      <c r="E196" s="117" t="s">
        <v>367</v>
      </c>
      <c r="F196" s="119">
        <v>1188150</v>
      </c>
      <c r="G196" t="s">
        <v>281</v>
      </c>
      <c r="H196" s="120">
        <f t="shared" si="2"/>
        <v>15.371880654799478</v>
      </c>
    </row>
    <row r="197" spans="1:8">
      <c r="A197" s="117" t="s">
        <v>412</v>
      </c>
      <c r="B197" s="117" t="s">
        <v>413</v>
      </c>
      <c r="C197" s="117" t="s">
        <v>366</v>
      </c>
      <c r="D197" s="118">
        <v>19141500</v>
      </c>
      <c r="E197" s="117" t="s">
        <v>367</v>
      </c>
      <c r="F197" s="119">
        <v>1249040</v>
      </c>
      <c r="G197" t="s">
        <v>281</v>
      </c>
      <c r="H197" s="120">
        <f t="shared" ref="H197:H231" si="3">+D197/F197</f>
        <v>15.324969576634855</v>
      </c>
    </row>
    <row r="198" spans="1:8">
      <c r="A198" s="117" t="s">
        <v>414</v>
      </c>
      <c r="B198" s="117" t="s">
        <v>415</v>
      </c>
      <c r="C198" s="117" t="s">
        <v>366</v>
      </c>
      <c r="D198" s="118">
        <v>19370200</v>
      </c>
      <c r="E198" s="117" t="s">
        <v>367</v>
      </c>
      <c r="F198" s="119">
        <v>1263960</v>
      </c>
      <c r="G198" t="s">
        <v>281</v>
      </c>
      <c r="H198" s="120">
        <f t="shared" si="3"/>
        <v>15.325010285135605</v>
      </c>
    </row>
    <row r="199" spans="1:8">
      <c r="A199" s="117" t="s">
        <v>416</v>
      </c>
      <c r="B199" s="117" t="s">
        <v>417</v>
      </c>
      <c r="C199" s="117" t="s">
        <v>366</v>
      </c>
      <c r="D199" s="118">
        <v>19591900</v>
      </c>
      <c r="E199" s="117" t="s">
        <v>367</v>
      </c>
      <c r="F199" s="119">
        <v>1275930</v>
      </c>
      <c r="G199" t="s">
        <v>281</v>
      </c>
      <c r="H199" s="120">
        <f t="shared" si="3"/>
        <v>15.354995963728419</v>
      </c>
    </row>
    <row r="200" spans="1:8">
      <c r="A200" s="117" t="s">
        <v>418</v>
      </c>
      <c r="B200" s="117" t="s">
        <v>419</v>
      </c>
      <c r="C200" s="117" t="s">
        <v>366</v>
      </c>
      <c r="D200" s="118">
        <v>19255100</v>
      </c>
      <c r="E200" s="117" t="s">
        <v>367</v>
      </c>
      <c r="F200" s="119">
        <v>1258090</v>
      </c>
      <c r="G200" t="s">
        <v>281</v>
      </c>
      <c r="H200" s="120">
        <f t="shared" si="3"/>
        <v>15.305025872552838</v>
      </c>
    </row>
    <row r="201" spans="1:8">
      <c r="A201" s="117" t="s">
        <v>420</v>
      </c>
      <c r="B201" s="117" t="s">
        <v>421</v>
      </c>
      <c r="C201" s="117" t="s">
        <v>366</v>
      </c>
      <c r="D201" s="118">
        <v>19686400</v>
      </c>
      <c r="E201" s="117" t="s">
        <v>367</v>
      </c>
      <c r="F201" s="119">
        <v>1286690</v>
      </c>
      <c r="G201" t="s">
        <v>281</v>
      </c>
      <c r="H201" s="120">
        <f t="shared" si="3"/>
        <v>15.300033419083073</v>
      </c>
    </row>
    <row r="202" spans="1:8">
      <c r="A202" s="117" t="s">
        <v>422</v>
      </c>
      <c r="B202" s="117" t="s">
        <v>423</v>
      </c>
      <c r="C202" s="117" t="s">
        <v>366</v>
      </c>
      <c r="D202" s="118">
        <v>19743800</v>
      </c>
      <c r="E202" s="117" t="s">
        <v>367</v>
      </c>
      <c r="F202" s="119">
        <v>1287500</v>
      </c>
      <c r="G202" t="s">
        <v>281</v>
      </c>
      <c r="H202" s="120">
        <f t="shared" si="3"/>
        <v>15.334990291262136</v>
      </c>
    </row>
    <row r="203" spans="1:8">
      <c r="A203" s="117" t="s">
        <v>424</v>
      </c>
      <c r="B203" s="117" t="s">
        <v>425</v>
      </c>
      <c r="C203" s="117" t="s">
        <v>366</v>
      </c>
      <c r="D203" s="118">
        <v>19274900</v>
      </c>
      <c r="E203" s="117" t="s">
        <v>367</v>
      </c>
      <c r="F203" s="119">
        <v>1257330</v>
      </c>
      <c r="G203" t="s">
        <v>281</v>
      </c>
      <c r="H203" s="120">
        <f t="shared" si="3"/>
        <v>15.330024734954229</v>
      </c>
    </row>
    <row r="204" spans="1:8">
      <c r="A204" s="117" t="s">
        <v>426</v>
      </c>
      <c r="B204" s="117" t="s">
        <v>427</v>
      </c>
      <c r="C204" s="117" t="s">
        <v>366</v>
      </c>
      <c r="D204" s="118">
        <v>19199000</v>
      </c>
      <c r="E204" s="117" t="s">
        <v>367</v>
      </c>
      <c r="F204" s="119">
        <v>1251970</v>
      </c>
      <c r="G204" t="s">
        <v>281</v>
      </c>
      <c r="H204" s="120">
        <f t="shared" si="3"/>
        <v>15.335031989584415</v>
      </c>
    </row>
    <row r="205" spans="1:8">
      <c r="A205" s="117" t="s">
        <v>428</v>
      </c>
      <c r="B205" s="117" t="s">
        <v>429</v>
      </c>
      <c r="C205" s="117" t="s">
        <v>366</v>
      </c>
      <c r="D205" s="118">
        <v>19283000</v>
      </c>
      <c r="E205" s="117" t="s">
        <v>367</v>
      </c>
      <c r="F205" s="119">
        <v>1256630</v>
      </c>
      <c r="G205" t="s">
        <v>281</v>
      </c>
      <c r="H205" s="120">
        <f t="shared" si="3"/>
        <v>15.345010066606719</v>
      </c>
    </row>
    <row r="206" spans="1:8">
      <c r="A206" s="117" t="s">
        <v>430</v>
      </c>
      <c r="B206" s="117" t="s">
        <v>431</v>
      </c>
      <c r="C206" s="117" t="s">
        <v>366</v>
      </c>
      <c r="D206" s="118">
        <v>19651800</v>
      </c>
      <c r="E206" s="117" t="s">
        <v>367</v>
      </c>
      <c r="F206" s="119">
        <v>1281500</v>
      </c>
      <c r="G206" t="s">
        <v>281</v>
      </c>
      <c r="H206" s="120">
        <f t="shared" si="3"/>
        <v>15.33499804916114</v>
      </c>
    </row>
    <row r="207" spans="1:8">
      <c r="A207" s="117" t="s">
        <v>432</v>
      </c>
      <c r="B207" s="117" t="s">
        <v>433</v>
      </c>
      <c r="C207" s="117" t="s">
        <v>366</v>
      </c>
      <c r="D207" s="118">
        <v>19870900</v>
      </c>
      <c r="E207" s="117" t="s">
        <v>367</v>
      </c>
      <c r="F207" s="119">
        <v>1297530</v>
      </c>
      <c r="G207" t="s">
        <v>281</v>
      </c>
      <c r="H207" s="120">
        <f t="shared" si="3"/>
        <v>15.314405061925351</v>
      </c>
    </row>
    <row r="208" spans="1:8">
      <c r="A208" s="117" t="s">
        <v>434</v>
      </c>
      <c r="B208" s="117" t="s">
        <v>435</v>
      </c>
      <c r="C208" s="117" t="s">
        <v>366</v>
      </c>
      <c r="D208" s="118">
        <v>19567600</v>
      </c>
      <c r="E208" s="117" t="s">
        <v>367</v>
      </c>
      <c r="F208" s="119">
        <v>1269210</v>
      </c>
      <c r="G208" t="s">
        <v>281</v>
      </c>
      <c r="H208" s="120">
        <f t="shared" si="3"/>
        <v>15.417149250321065</v>
      </c>
    </row>
    <row r="209" spans="1:8">
      <c r="A209" s="117" t="s">
        <v>436</v>
      </c>
      <c r="B209" s="117" t="s">
        <v>437</v>
      </c>
      <c r="C209" s="117" t="s">
        <v>366</v>
      </c>
      <c r="D209" s="118">
        <v>20169900</v>
      </c>
      <c r="E209" s="117" t="s">
        <v>367</v>
      </c>
      <c r="F209" s="119">
        <v>1314000</v>
      </c>
      <c r="G209" t="s">
        <v>281</v>
      </c>
      <c r="H209" s="120">
        <f t="shared" si="3"/>
        <v>15.35</v>
      </c>
    </row>
    <row r="210" spans="1:8">
      <c r="A210" s="117" t="s">
        <v>438</v>
      </c>
      <c r="B210" s="117" t="s">
        <v>439</v>
      </c>
      <c r="C210" s="117" t="s">
        <v>366</v>
      </c>
      <c r="D210" s="118">
        <v>20338000</v>
      </c>
      <c r="E210" s="117" t="s">
        <v>367</v>
      </c>
      <c r="F210" s="119">
        <v>1307830</v>
      </c>
      <c r="G210" t="s">
        <v>281</v>
      </c>
      <c r="H210" s="120">
        <f t="shared" si="3"/>
        <v>15.550950811649832</v>
      </c>
    </row>
    <row r="211" spans="1:8">
      <c r="A211" s="117" t="s">
        <v>440</v>
      </c>
      <c r="B211" s="117" t="s">
        <v>441</v>
      </c>
      <c r="C211" s="117" t="s">
        <v>366</v>
      </c>
      <c r="D211" s="118">
        <v>20151400</v>
      </c>
      <c r="E211" s="117" t="s">
        <v>367</v>
      </c>
      <c r="F211" s="119">
        <v>1328370</v>
      </c>
      <c r="G211" t="s">
        <v>281</v>
      </c>
      <c r="H211" s="120">
        <f t="shared" si="3"/>
        <v>15.170020400942509</v>
      </c>
    </row>
    <row r="212" spans="1:8">
      <c r="A212" s="117" t="s">
        <v>442</v>
      </c>
      <c r="B212" s="117" t="s">
        <v>443</v>
      </c>
      <c r="C212" s="117" t="s">
        <v>366</v>
      </c>
      <c r="D212" s="118">
        <v>20242500</v>
      </c>
      <c r="E212" s="117" t="s">
        <v>367</v>
      </c>
      <c r="F212" s="119">
        <v>1320450</v>
      </c>
      <c r="G212" t="s">
        <v>281</v>
      </c>
      <c r="H212" s="120">
        <f t="shared" si="3"/>
        <v>15.330001135976371</v>
      </c>
    </row>
    <row r="213" spans="1:8">
      <c r="A213" s="117" t="s">
        <v>444</v>
      </c>
      <c r="B213" s="117" t="s">
        <v>445</v>
      </c>
      <c r="C213" s="117" t="s">
        <v>366</v>
      </c>
      <c r="D213" s="118">
        <v>19545100</v>
      </c>
      <c r="E213" s="117" t="s">
        <v>367</v>
      </c>
      <c r="F213" s="119">
        <v>1276620</v>
      </c>
      <c r="G213" t="s">
        <v>281</v>
      </c>
      <c r="H213" s="120">
        <f t="shared" si="3"/>
        <v>15.310037442621924</v>
      </c>
    </row>
    <row r="214" spans="1:8">
      <c r="A214" s="117" t="s">
        <v>446</v>
      </c>
      <c r="B214" s="117" t="s">
        <v>447</v>
      </c>
      <c r="C214" s="117" t="s">
        <v>366</v>
      </c>
      <c r="D214" s="118">
        <v>20626800</v>
      </c>
      <c r="E214" s="117" t="s">
        <v>367</v>
      </c>
      <c r="F214" s="119">
        <v>1350980</v>
      </c>
      <c r="G214" t="s">
        <v>281</v>
      </c>
      <c r="H214" s="120">
        <f t="shared" si="3"/>
        <v>15.268027653999319</v>
      </c>
    </row>
    <row r="215" spans="1:8">
      <c r="A215" s="117" t="s">
        <v>448</v>
      </c>
      <c r="B215" s="117" t="s">
        <v>449</v>
      </c>
      <c r="C215" s="117" t="s">
        <v>366</v>
      </c>
      <c r="D215" s="118">
        <v>20522800</v>
      </c>
      <c r="E215" s="117" t="s">
        <v>367</v>
      </c>
      <c r="F215" s="119">
        <v>1336120</v>
      </c>
      <c r="G215" t="s">
        <v>281</v>
      </c>
      <c r="H215" s="120">
        <f t="shared" si="3"/>
        <v>15.359997605005539</v>
      </c>
    </row>
    <row r="216" spans="1:8">
      <c r="A216" s="117" t="s">
        <v>450</v>
      </c>
      <c r="B216" s="117" t="s">
        <v>451</v>
      </c>
      <c r="C216" s="117" t="s">
        <v>366</v>
      </c>
      <c r="D216" s="118">
        <v>20565800</v>
      </c>
      <c r="E216" s="117" t="s">
        <v>367</v>
      </c>
      <c r="F216" s="119">
        <v>1339790</v>
      </c>
      <c r="G216" t="s">
        <v>281</v>
      </c>
      <c r="H216" s="120">
        <f t="shared" si="3"/>
        <v>15.350017540062249</v>
      </c>
    </row>
    <row r="217" spans="1:8">
      <c r="A217" s="117" t="s">
        <v>452</v>
      </c>
      <c r="B217" s="117" t="s">
        <v>453</v>
      </c>
      <c r="C217" s="117" t="s">
        <v>366</v>
      </c>
      <c r="D217" s="118">
        <v>20567500</v>
      </c>
      <c r="E217" s="117" t="s">
        <v>367</v>
      </c>
      <c r="F217" s="119">
        <v>1343400</v>
      </c>
      <c r="G217" t="s">
        <v>281</v>
      </c>
      <c r="H217" s="120">
        <f t="shared" si="3"/>
        <v>15.310034241476849</v>
      </c>
    </row>
    <row r="218" spans="1:8">
      <c r="A218" s="117" t="s">
        <v>454</v>
      </c>
      <c r="B218" s="117" t="s">
        <v>455</v>
      </c>
      <c r="C218" s="117" t="s">
        <v>366</v>
      </c>
      <c r="D218" s="118">
        <v>20107700</v>
      </c>
      <c r="E218" s="117" t="s">
        <v>367</v>
      </c>
      <c r="F218" s="119">
        <v>1317950</v>
      </c>
      <c r="G218" t="s">
        <v>281</v>
      </c>
      <c r="H218" s="120">
        <f t="shared" si="3"/>
        <v>15.256800333851816</v>
      </c>
    </row>
    <row r="219" spans="1:8">
      <c r="A219" s="117" t="s">
        <v>456</v>
      </c>
      <c r="B219" s="117" t="s">
        <v>457</v>
      </c>
      <c r="C219" s="117" t="s">
        <v>366</v>
      </c>
      <c r="D219" s="118">
        <v>19379100</v>
      </c>
      <c r="E219" s="117" t="s">
        <v>367</v>
      </c>
      <c r="F219" s="119">
        <v>1282740</v>
      </c>
      <c r="G219" t="s">
        <v>281</v>
      </c>
      <c r="H219" s="120">
        <f t="shared" si="3"/>
        <v>15.107582206838487</v>
      </c>
    </row>
    <row r="220" spans="1:8">
      <c r="A220" s="117" t="s">
        <v>458</v>
      </c>
      <c r="B220" s="117" t="s">
        <v>459</v>
      </c>
      <c r="C220" s="117" t="s">
        <v>366</v>
      </c>
      <c r="D220" s="118">
        <v>19233900</v>
      </c>
      <c r="E220" s="117" t="s">
        <v>367</v>
      </c>
      <c r="F220" s="119">
        <v>1253840</v>
      </c>
      <c r="G220" t="s">
        <v>281</v>
      </c>
      <c r="H220" s="120">
        <f t="shared" si="3"/>
        <v>15.33999553372041</v>
      </c>
    </row>
    <row r="221" spans="1:8">
      <c r="A221" s="117" t="s">
        <v>460</v>
      </c>
      <c r="B221" s="117" t="s">
        <v>461</v>
      </c>
      <c r="C221" s="117" t="s">
        <v>366</v>
      </c>
      <c r="D221" s="118">
        <v>18795900</v>
      </c>
      <c r="E221" s="117" t="s">
        <v>367</v>
      </c>
      <c r="F221" s="119">
        <v>1224490</v>
      </c>
      <c r="G221" t="s">
        <v>281</v>
      </c>
      <c r="H221" s="120">
        <f t="shared" si="3"/>
        <v>15.349982441669592</v>
      </c>
    </row>
    <row r="222" spans="1:8">
      <c r="A222" s="117" t="s">
        <v>462</v>
      </c>
      <c r="B222" s="117" t="s">
        <v>463</v>
      </c>
      <c r="C222" s="117" t="s">
        <v>366</v>
      </c>
      <c r="D222" s="118">
        <v>19733800</v>
      </c>
      <c r="E222" s="117" t="s">
        <v>367</v>
      </c>
      <c r="F222" s="119">
        <v>1224890</v>
      </c>
      <c r="G222" t="s">
        <v>281</v>
      </c>
      <c r="H222" s="120">
        <f t="shared" si="3"/>
        <v>16.110671162308453</v>
      </c>
    </row>
    <row r="223" spans="1:8">
      <c r="A223" s="117" t="s">
        <v>464</v>
      </c>
      <c r="B223" s="117" t="s">
        <v>465</v>
      </c>
      <c r="C223" s="117" t="s">
        <v>366</v>
      </c>
      <c r="D223" s="118">
        <v>20340300</v>
      </c>
      <c r="E223" s="117" t="s">
        <v>367</v>
      </c>
      <c r="F223" s="119">
        <v>1282110</v>
      </c>
      <c r="G223" t="s">
        <v>281</v>
      </c>
      <c r="H223" s="120">
        <f t="shared" si="3"/>
        <v>15.864707396401245</v>
      </c>
    </row>
    <row r="224" spans="1:8">
      <c r="A224" s="117" t="s">
        <v>466</v>
      </c>
      <c r="B224" s="117" t="s">
        <v>467</v>
      </c>
      <c r="C224" s="117" t="s">
        <v>366</v>
      </c>
      <c r="D224" s="118">
        <v>12553900</v>
      </c>
      <c r="E224" s="117" t="s">
        <v>367</v>
      </c>
      <c r="F224" s="119">
        <v>1240500</v>
      </c>
      <c r="G224" t="s">
        <v>281</v>
      </c>
      <c r="H224" s="120">
        <f t="shared" si="3"/>
        <v>10.120032245062475</v>
      </c>
    </row>
    <row r="225" spans="1:8">
      <c r="A225" s="117" t="s">
        <v>468</v>
      </c>
      <c r="B225" s="117" t="s">
        <v>469</v>
      </c>
      <c r="C225" s="117" t="s">
        <v>366</v>
      </c>
      <c r="D225" s="118">
        <v>9424690</v>
      </c>
      <c r="E225" s="117" t="s">
        <v>367</v>
      </c>
      <c r="F225" s="119">
        <v>1210420</v>
      </c>
      <c r="G225" t="s">
        <v>281</v>
      </c>
      <c r="H225" s="120">
        <f t="shared" si="3"/>
        <v>7.7862973182862145</v>
      </c>
    </row>
    <row r="226" spans="1:8">
      <c r="A226" s="117" t="s">
        <v>470</v>
      </c>
      <c r="B226" s="117" t="s">
        <v>471</v>
      </c>
      <c r="C226" s="117" t="s">
        <v>366</v>
      </c>
      <c r="D226" s="118">
        <v>9787000</v>
      </c>
      <c r="E226" s="117" t="s">
        <v>367</v>
      </c>
      <c r="F226" s="119">
        <v>1221140</v>
      </c>
      <c r="G226" t="s">
        <v>281</v>
      </c>
      <c r="H226" s="120">
        <f t="shared" si="3"/>
        <v>8.0146420557839395</v>
      </c>
    </row>
    <row r="227" spans="1:8">
      <c r="A227" s="117" t="s">
        <v>472</v>
      </c>
      <c r="B227" s="117" t="s">
        <v>473</v>
      </c>
      <c r="C227" s="117" t="s">
        <v>366</v>
      </c>
      <c r="D227" s="118">
        <v>8768150</v>
      </c>
      <c r="E227" s="117" t="s">
        <v>367</v>
      </c>
      <c r="F227" s="119">
        <v>1216160</v>
      </c>
      <c r="G227" t="s">
        <v>281</v>
      </c>
      <c r="H227" s="120">
        <f t="shared" si="3"/>
        <v>7.2097010261807659</v>
      </c>
    </row>
    <row r="228" spans="1:8">
      <c r="A228" s="117" t="s">
        <v>474</v>
      </c>
      <c r="B228" s="117" t="s">
        <v>475</v>
      </c>
      <c r="C228" s="117" t="s">
        <v>366</v>
      </c>
      <c r="D228" s="118">
        <v>8113300</v>
      </c>
      <c r="E228" s="117" t="s">
        <v>367</v>
      </c>
      <c r="F228" s="119">
        <v>1172940</v>
      </c>
      <c r="G228" t="s">
        <v>281</v>
      </c>
      <c r="H228" s="120">
        <f t="shared" si="3"/>
        <v>6.917063106382253</v>
      </c>
    </row>
    <row r="229" spans="1:8">
      <c r="A229" s="117" t="s">
        <v>476</v>
      </c>
      <c r="B229" s="117" t="s">
        <v>477</v>
      </c>
      <c r="C229" s="117" t="s">
        <v>366</v>
      </c>
      <c r="D229" s="118">
        <v>7981160</v>
      </c>
      <c r="E229" s="117" t="s">
        <v>367</v>
      </c>
      <c r="F229" s="119">
        <v>1153380</v>
      </c>
      <c r="G229" t="s">
        <v>281</v>
      </c>
      <c r="H229" s="120">
        <f t="shared" si="3"/>
        <v>6.9198009329102295</v>
      </c>
    </row>
    <row r="230" spans="1:8">
      <c r="A230" s="117" t="s">
        <v>478</v>
      </c>
      <c r="B230" s="117" t="s">
        <v>479</v>
      </c>
      <c r="C230" s="117" t="s">
        <v>366</v>
      </c>
      <c r="D230" s="118">
        <v>8086900</v>
      </c>
      <c r="E230" s="117" t="s">
        <v>367</v>
      </c>
      <c r="F230" s="119">
        <v>1149770</v>
      </c>
      <c r="G230" t="s">
        <v>281</v>
      </c>
      <c r="H230" s="120">
        <f t="shared" si="3"/>
        <v>7.0334936552527898</v>
      </c>
    </row>
    <row r="231" spans="1:8">
      <c r="A231" s="117" t="s">
        <v>480</v>
      </c>
      <c r="B231" s="117" t="s">
        <v>481</v>
      </c>
      <c r="C231" s="117" t="s">
        <v>366</v>
      </c>
      <c r="D231" s="118">
        <v>7033060</v>
      </c>
      <c r="E231" s="117" t="s">
        <v>367</v>
      </c>
      <c r="F231" s="119">
        <v>1128920</v>
      </c>
      <c r="G231" t="s">
        <v>281</v>
      </c>
      <c r="H231" s="120">
        <f t="shared" si="3"/>
        <v>6.2299011444566492</v>
      </c>
    </row>
  </sheetData>
  <pageMargins left="0.75" right="0.75" top="1" bottom="1" header="0.5" footer="0.5"/>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tint="-0.499984740745262"/>
  </sheetPr>
  <dimension ref="A1:B132"/>
  <sheetViews>
    <sheetView workbookViewId="0"/>
  </sheetViews>
  <sheetFormatPr defaultColWidth="11.42578125" defaultRowHeight="12"/>
  <cols>
    <col min="1" max="1" width="146.28515625" style="585" customWidth="1"/>
    <col min="2" max="16384" width="11.42578125" style="585"/>
  </cols>
  <sheetData>
    <row r="1" spans="1:2" ht="24.75">
      <c r="A1" s="1323" t="s">
        <v>1204</v>
      </c>
    </row>
    <row r="2" spans="1:2" ht="24.75">
      <c r="A2" s="1609"/>
    </row>
    <row r="3" spans="1:2" ht="25.5">
      <c r="A3" s="839" t="s">
        <v>1865</v>
      </c>
    </row>
    <row r="4" spans="1:2" ht="12.75">
      <c r="A4" s="1607"/>
      <c r="B4" s="1608"/>
    </row>
    <row r="5" spans="1:2" ht="25.5">
      <c r="A5" s="1607" t="s">
        <v>1866</v>
      </c>
    </row>
    <row r="6" spans="1:2" ht="12.75">
      <c r="A6" s="1607"/>
    </row>
    <row r="7" spans="1:2" ht="25.5">
      <c r="A7" s="1607" t="s">
        <v>1867</v>
      </c>
    </row>
    <row r="8" spans="1:2" ht="12.75">
      <c r="A8" s="1607"/>
    </row>
    <row r="9" spans="1:2" ht="25.5">
      <c r="A9" s="1607" t="s">
        <v>1929</v>
      </c>
    </row>
    <row r="10" spans="1:2" ht="12.75">
      <c r="A10" s="1607"/>
    </row>
    <row r="11" spans="1:2" ht="25.5">
      <c r="A11" s="1607" t="s">
        <v>1868</v>
      </c>
    </row>
    <row r="12" spans="1:2" ht="12.75">
      <c r="A12" s="839"/>
    </row>
    <row r="13" spans="1:2" ht="25.5">
      <c r="A13" s="839" t="s">
        <v>1869</v>
      </c>
    </row>
    <row r="14" spans="1:2" ht="12.75">
      <c r="A14" s="839"/>
    </row>
    <row r="15" spans="1:2" ht="25.5">
      <c r="A15" s="839" t="s">
        <v>1870</v>
      </c>
    </row>
    <row r="16" spans="1:2" ht="12.75">
      <c r="A16" s="839"/>
    </row>
    <row r="17" spans="1:1" ht="25.5">
      <c r="A17" s="839" t="s">
        <v>1871</v>
      </c>
    </row>
    <row r="18" spans="1:1" ht="12.75">
      <c r="A18" s="839"/>
    </row>
    <row r="19" spans="1:1" ht="25.5">
      <c r="A19" s="1607" t="s">
        <v>1872</v>
      </c>
    </row>
    <row r="20" spans="1:1" ht="12.75">
      <c r="A20" s="1607"/>
    </row>
    <row r="21" spans="1:1" ht="25.5">
      <c r="A21" s="1607" t="s">
        <v>1873</v>
      </c>
    </row>
    <row r="22" spans="1:1" ht="12.75">
      <c r="A22" s="1607"/>
    </row>
    <row r="23" spans="1:1" ht="25.5">
      <c r="A23" s="1607" t="s">
        <v>1874</v>
      </c>
    </row>
    <row r="24" spans="1:1" ht="12.75">
      <c r="A24" s="1607"/>
    </row>
    <row r="25" spans="1:1" ht="12.75">
      <c r="A25" s="1607" t="s">
        <v>1875</v>
      </c>
    </row>
    <row r="26" spans="1:1" ht="12.75">
      <c r="A26" s="1607"/>
    </row>
    <row r="27" spans="1:1" ht="12.75">
      <c r="A27" s="1607" t="s">
        <v>1876</v>
      </c>
    </row>
    <row r="28" spans="1:1" ht="12.75">
      <c r="A28" s="839"/>
    </row>
    <row r="29" spans="1:1" ht="38.25">
      <c r="A29" s="839" t="s">
        <v>1877</v>
      </c>
    </row>
    <row r="30" spans="1:1" ht="12.75">
      <c r="A30" s="1607"/>
    </row>
    <row r="31" spans="1:1" ht="12.75">
      <c r="A31" s="1610" t="s">
        <v>1878</v>
      </c>
    </row>
    <row r="32" spans="1:1" ht="25.5">
      <c r="A32" s="1610" t="s">
        <v>1879</v>
      </c>
    </row>
    <row r="33" spans="1:1" ht="12.75">
      <c r="A33" s="1607"/>
    </row>
    <row r="34" spans="1:1" ht="25.5">
      <c r="A34" s="1607" t="s">
        <v>1880</v>
      </c>
    </row>
    <row r="35" spans="1:1" ht="12.75">
      <c r="A35" s="1607"/>
    </row>
    <row r="36" spans="1:1" ht="12.75">
      <c r="A36" s="1607" t="s">
        <v>1881</v>
      </c>
    </row>
    <row r="37" spans="1:1" ht="12.75">
      <c r="A37" s="1607" t="s">
        <v>1882</v>
      </c>
    </row>
    <row r="38" spans="1:1" ht="12.75">
      <c r="A38" s="1607"/>
    </row>
    <row r="39" spans="1:1" ht="25.5">
      <c r="A39" s="1607" t="s">
        <v>1883</v>
      </c>
    </row>
    <row r="40" spans="1:1" ht="12.75">
      <c r="A40" s="1607" t="s">
        <v>1884</v>
      </c>
    </row>
    <row r="41" spans="1:1" ht="12.75">
      <c r="A41" s="1607"/>
    </row>
    <row r="42" spans="1:1" ht="25.5">
      <c r="A42" s="1607" t="s">
        <v>1885</v>
      </c>
    </row>
    <row r="43" spans="1:1" ht="12.75">
      <c r="A43" s="1607"/>
    </row>
    <row r="44" spans="1:1" ht="25.5">
      <c r="A44" s="839" t="s">
        <v>1886</v>
      </c>
    </row>
    <row r="45" spans="1:1" ht="12.75">
      <c r="A45" s="1607"/>
    </row>
    <row r="46" spans="1:1" ht="38.25">
      <c r="A46" s="1607" t="s">
        <v>1887</v>
      </c>
    </row>
    <row r="47" spans="1:1" ht="12.75">
      <c r="A47" s="1607"/>
    </row>
    <row r="48" spans="1:1" ht="12.75">
      <c r="A48" s="1607" t="s">
        <v>1888</v>
      </c>
    </row>
    <row r="49" spans="1:1" ht="12.75">
      <c r="A49" s="1510"/>
    </row>
    <row r="50" spans="1:1" ht="25.5">
      <c r="A50" s="1607" t="s">
        <v>1889</v>
      </c>
    </row>
    <row r="51" spans="1:1" ht="12.75">
      <c r="A51" s="839"/>
    </row>
    <row r="52" spans="1:1" ht="12.75">
      <c r="A52" s="1607" t="s">
        <v>1890</v>
      </c>
    </row>
    <row r="53" spans="1:1" ht="12.75">
      <c r="A53" s="1607"/>
    </row>
    <row r="54" spans="1:1" ht="38.25">
      <c r="A54" s="1611" t="s">
        <v>1891</v>
      </c>
    </row>
    <row r="56" spans="1:1" ht="25.5">
      <c r="A56" s="1611" t="s">
        <v>1892</v>
      </c>
    </row>
    <row r="57" spans="1:1" ht="12.75">
      <c r="A57" s="1611"/>
    </row>
    <row r="58" spans="1:1" ht="12.75">
      <c r="A58" s="1607" t="s">
        <v>1893</v>
      </c>
    </row>
    <row r="59" spans="1:1" ht="12.75">
      <c r="A59" s="1510"/>
    </row>
    <row r="60" spans="1:1" ht="38.25">
      <c r="A60" s="1507" t="s">
        <v>1894</v>
      </c>
    </row>
    <row r="61" spans="1:1" ht="12.75">
      <c r="A61" s="839"/>
    </row>
    <row r="62" spans="1:1" ht="12.75">
      <c r="A62" s="839" t="s">
        <v>1895</v>
      </c>
    </row>
    <row r="63" spans="1:1" ht="25.5">
      <c r="A63" s="1607" t="s">
        <v>1896</v>
      </c>
    </row>
    <row r="64" spans="1:1" ht="12.75">
      <c r="A64" s="1607"/>
    </row>
    <row r="65" spans="1:1" ht="12.75">
      <c r="A65" s="1607" t="s">
        <v>1897</v>
      </c>
    </row>
    <row r="66" spans="1:1" ht="12.75">
      <c r="A66" s="1607"/>
    </row>
    <row r="67" spans="1:1" ht="25.5">
      <c r="A67" s="1607" t="s">
        <v>1898</v>
      </c>
    </row>
    <row r="68" spans="1:1" ht="12.75">
      <c r="A68" s="839"/>
    </row>
    <row r="69" spans="1:1" ht="25.5">
      <c r="A69" s="839" t="s">
        <v>1899</v>
      </c>
    </row>
    <row r="70" spans="1:1" ht="12.75">
      <c r="A70" s="839"/>
    </row>
    <row r="71" spans="1:1" ht="25.5">
      <c r="A71" s="839" t="s">
        <v>1900</v>
      </c>
    </row>
    <row r="72" spans="1:1" ht="12.75">
      <c r="A72" s="839"/>
    </row>
    <row r="73" spans="1:1" ht="25.5">
      <c r="A73" s="1607" t="s">
        <v>1901</v>
      </c>
    </row>
    <row r="74" spans="1:1" ht="12.75">
      <c r="A74" s="1607"/>
    </row>
    <row r="75" spans="1:1" ht="38.25">
      <c r="A75" s="1607" t="s">
        <v>1902</v>
      </c>
    </row>
    <row r="76" spans="1:1" ht="12.75">
      <c r="A76" s="1607"/>
    </row>
    <row r="77" spans="1:1" ht="27">
      <c r="A77" s="1607" t="s">
        <v>1903</v>
      </c>
    </row>
    <row r="78" spans="1:1" ht="12.75">
      <c r="A78" s="839"/>
    </row>
    <row r="79" spans="1:1" ht="25.5">
      <c r="A79" s="839" t="s">
        <v>1904</v>
      </c>
    </row>
    <row r="80" spans="1:1" ht="12.75">
      <c r="A80" s="839"/>
    </row>
    <row r="81" spans="1:1" ht="25.5">
      <c r="A81" s="839" t="s">
        <v>1905</v>
      </c>
    </row>
    <row r="82" spans="1:1" ht="15">
      <c r="A82" s="1506"/>
    </row>
    <row r="83" spans="1:1" ht="25.5">
      <c r="A83" s="1611" t="s">
        <v>1906</v>
      </c>
    </row>
    <row r="84" spans="1:1" ht="15">
      <c r="A84" s="1506"/>
    </row>
    <row r="85" spans="1:1" ht="12.75">
      <c r="A85" s="1607" t="s">
        <v>1907</v>
      </c>
    </row>
    <row r="86" spans="1:1" ht="12.75">
      <c r="A86" s="1607"/>
    </row>
    <row r="87" spans="1:1" ht="25.5">
      <c r="A87" s="1607" t="s">
        <v>1908</v>
      </c>
    </row>
    <row r="88" spans="1:1" ht="12.75">
      <c r="A88" s="1607"/>
    </row>
    <row r="89" spans="1:1" ht="12.75">
      <c r="A89" s="1607" t="s">
        <v>1909</v>
      </c>
    </row>
    <row r="90" spans="1:1" ht="12.75">
      <c r="A90" s="1607"/>
    </row>
    <row r="91" spans="1:1" ht="12.75">
      <c r="A91" s="1607" t="s">
        <v>1910</v>
      </c>
    </row>
    <row r="92" spans="1:1" ht="12.75">
      <c r="A92" s="1607"/>
    </row>
    <row r="93" spans="1:1" ht="25.5">
      <c r="A93" s="1607" t="s">
        <v>1911</v>
      </c>
    </row>
    <row r="94" spans="1:1" ht="12.75">
      <c r="A94" s="1607"/>
    </row>
    <row r="95" spans="1:1" ht="25.5">
      <c r="A95" s="1607" t="s">
        <v>1912</v>
      </c>
    </row>
    <row r="96" spans="1:1" ht="12.75">
      <c r="A96" s="1607"/>
    </row>
    <row r="97" spans="1:1" ht="12.75">
      <c r="A97" s="1607" t="s">
        <v>1913</v>
      </c>
    </row>
    <row r="98" spans="1:1" ht="12.75">
      <c r="A98" s="1610"/>
    </row>
    <row r="99" spans="1:1" ht="25.5">
      <c r="A99" s="1610" t="s">
        <v>1914</v>
      </c>
    </row>
    <row r="100" spans="1:1" ht="12.75">
      <c r="A100" s="1610"/>
    </row>
    <row r="101" spans="1:1" ht="38.25">
      <c r="A101" s="1607" t="s">
        <v>1915</v>
      </c>
    </row>
    <row r="102" spans="1:1" ht="12.75">
      <c r="A102" s="839"/>
    </row>
    <row r="103" spans="1:1" ht="25.5">
      <c r="A103" s="1610" t="s">
        <v>1916</v>
      </c>
    </row>
    <row r="104" spans="1:1" ht="12.75">
      <c r="A104" s="839"/>
    </row>
    <row r="105" spans="1:1" ht="25.5">
      <c r="A105" s="839" t="s">
        <v>1917</v>
      </c>
    </row>
    <row r="106" spans="1:1" ht="12.75">
      <c r="A106" s="839"/>
    </row>
    <row r="107" spans="1:1" ht="12.75">
      <c r="A107" s="839" t="s">
        <v>1272</v>
      </c>
    </row>
    <row r="108" spans="1:1" ht="12.75">
      <c r="A108" s="1607"/>
    </row>
    <row r="109" spans="1:1" ht="38.25">
      <c r="A109" s="1607" t="s">
        <v>1918</v>
      </c>
    </row>
    <row r="110" spans="1:1" ht="12.75">
      <c r="A110" s="1607"/>
    </row>
    <row r="111" spans="1:1" ht="12.75">
      <c r="A111" s="1607" t="s">
        <v>1919</v>
      </c>
    </row>
    <row r="112" spans="1:1" ht="12.75">
      <c r="A112" s="1607"/>
    </row>
    <row r="113" spans="1:1" ht="12.75">
      <c r="A113" s="1607" t="s">
        <v>1920</v>
      </c>
    </row>
    <row r="114" spans="1:1" ht="15">
      <c r="A114" s="1506"/>
    </row>
    <row r="115" spans="1:1" ht="12.75">
      <c r="A115" s="1611" t="s">
        <v>1921</v>
      </c>
    </row>
    <row r="116" spans="1:1" ht="15">
      <c r="A116" s="1506"/>
    </row>
    <row r="117" spans="1:1" ht="25.5">
      <c r="A117" s="1611" t="s">
        <v>1922</v>
      </c>
    </row>
    <row r="118" spans="1:1" ht="15">
      <c r="A118" s="1506"/>
    </row>
    <row r="119" spans="1:1" ht="25.5">
      <c r="A119" s="839" t="s">
        <v>1205</v>
      </c>
    </row>
    <row r="120" spans="1:1" ht="14.1" customHeight="1">
      <c r="A120" s="839"/>
    </row>
    <row r="121" spans="1:1" ht="14.1" customHeight="1">
      <c r="A121" s="1607" t="s">
        <v>1923</v>
      </c>
    </row>
    <row r="122" spans="1:1" ht="14.1" customHeight="1">
      <c r="A122" s="1607"/>
    </row>
    <row r="123" spans="1:1" ht="25.5">
      <c r="A123" s="1607" t="s">
        <v>1924</v>
      </c>
    </row>
    <row r="124" spans="1:1" ht="12.75">
      <c r="A124" s="1607"/>
    </row>
    <row r="125" spans="1:1" ht="12.75">
      <c r="A125" s="1607" t="s">
        <v>1925</v>
      </c>
    </row>
    <row r="126" spans="1:1" ht="12.75">
      <c r="A126" s="1607"/>
    </row>
    <row r="127" spans="1:1" ht="12.75">
      <c r="A127" s="1607" t="s">
        <v>1926</v>
      </c>
    </row>
    <row r="128" spans="1:1" ht="25.5">
      <c r="A128" s="1607" t="s">
        <v>1927</v>
      </c>
    </row>
    <row r="129" spans="1:1" ht="12.75">
      <c r="A129" s="1607"/>
    </row>
    <row r="130" spans="1:1" ht="25.5">
      <c r="A130" s="1607" t="s">
        <v>1928</v>
      </c>
    </row>
    <row r="131" spans="1:1" ht="12.75">
      <c r="A131" s="1606"/>
    </row>
    <row r="132" spans="1:1" ht="12.75">
      <c r="A132" s="1606"/>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13603C"/>
  </sheetPr>
  <dimension ref="A1:Z114"/>
  <sheetViews>
    <sheetView workbookViewId="0"/>
  </sheetViews>
  <sheetFormatPr defaultColWidth="8.85546875" defaultRowHeight="15"/>
  <cols>
    <col min="1" max="1" width="35.7109375" customWidth="1"/>
    <col min="2" max="2" width="19.42578125" bestFit="1" customWidth="1"/>
    <col min="3" max="3" width="17.85546875" customWidth="1"/>
    <col min="4" max="4" width="15.28515625" customWidth="1"/>
    <col min="5" max="5" width="17.7109375" customWidth="1"/>
    <col min="6" max="6" width="16.85546875" customWidth="1"/>
    <col min="7" max="7" width="22.28515625" customWidth="1"/>
    <col min="8" max="8" width="20.85546875" customWidth="1"/>
    <col min="9" max="9" width="9.85546875" bestFit="1" customWidth="1"/>
    <col min="10" max="10" width="9" bestFit="1" customWidth="1"/>
    <col min="11" max="12" width="10.42578125" customWidth="1"/>
    <col min="13" max="13" width="11.140625" customWidth="1"/>
    <col min="20" max="23" width="10" bestFit="1" customWidth="1"/>
    <col min="24" max="24" width="13" customWidth="1"/>
  </cols>
  <sheetData>
    <row r="1" spans="1:26" ht="25.5" thickBot="1">
      <c r="A1" s="1262" t="s">
        <v>1646</v>
      </c>
      <c r="B1" s="1267"/>
    </row>
    <row r="2" spans="1:26" ht="16.5" thickBot="1">
      <c r="A2" s="204"/>
      <c r="B2" s="174"/>
      <c r="Q2" s="254"/>
      <c r="S2" s="251"/>
      <c r="T2" s="252"/>
      <c r="U2" s="252"/>
      <c r="V2" s="252"/>
      <c r="W2" s="252"/>
      <c r="X2" s="252"/>
      <c r="Y2" s="252"/>
      <c r="Z2" s="253"/>
    </row>
    <row r="3" spans="1:26" ht="15.75" thickBot="1">
      <c r="A3" s="278" t="s">
        <v>742</v>
      </c>
      <c r="B3" s="252" t="s">
        <v>740</v>
      </c>
      <c r="C3" s="252"/>
      <c r="D3" s="252"/>
      <c r="E3" s="252"/>
      <c r="F3" s="287" t="s">
        <v>741</v>
      </c>
      <c r="G3" s="252"/>
      <c r="H3" s="252"/>
      <c r="I3" s="253"/>
      <c r="S3" t="s">
        <v>716</v>
      </c>
      <c r="W3" t="s">
        <v>717</v>
      </c>
    </row>
    <row r="4" spans="1:26" ht="15.75" thickBot="1">
      <c r="A4" s="279"/>
      <c r="B4" s="166" t="s">
        <v>22</v>
      </c>
      <c r="C4" s="166" t="s">
        <v>654</v>
      </c>
      <c r="D4" s="166" t="s">
        <v>655</v>
      </c>
      <c r="E4" s="166" t="s">
        <v>656</v>
      </c>
      <c r="F4" s="263" t="s">
        <v>22</v>
      </c>
      <c r="G4" s="166" t="s">
        <v>654</v>
      </c>
      <c r="H4" s="166" t="s">
        <v>655</v>
      </c>
      <c r="I4" s="260" t="s">
        <v>656</v>
      </c>
      <c r="T4">
        <v>1990</v>
      </c>
      <c r="U4">
        <v>2000</v>
      </c>
      <c r="V4">
        <v>2010</v>
      </c>
      <c r="W4">
        <v>1990</v>
      </c>
      <c r="X4">
        <v>2000</v>
      </c>
      <c r="Y4">
        <v>2010</v>
      </c>
    </row>
    <row r="5" spans="1:26">
      <c r="A5" s="280" t="s">
        <v>732</v>
      </c>
      <c r="B5" s="272">
        <v>62.3</v>
      </c>
      <c r="C5" s="268">
        <v>51</v>
      </c>
      <c r="D5" s="268">
        <v>1.4</v>
      </c>
      <c r="E5" s="268">
        <v>9.9</v>
      </c>
      <c r="F5" s="288">
        <f t="shared" ref="F5:F22" si="0">+B5/B$21</f>
        <v>2.5768292178516772E-2</v>
      </c>
      <c r="G5" s="271">
        <f t="shared" ref="G5:G22" si="1">+C5/C$21</f>
        <v>5.1400927232412817E-2</v>
      </c>
      <c r="H5" s="271">
        <f t="shared" ref="H5:H22" si="2">+D5/D$21</f>
        <v>1.9115237575095575E-3</v>
      </c>
      <c r="I5" s="273">
        <f t="shared" ref="I5:I22" si="3">+E5/E$21</f>
        <v>1.4281592613964226E-2</v>
      </c>
      <c r="S5" s="244"/>
      <c r="T5" s="244"/>
      <c r="U5" s="244"/>
      <c r="V5" s="244"/>
      <c r="W5" s="244"/>
      <c r="X5" s="244"/>
      <c r="Y5" s="244"/>
    </row>
    <row r="6" spans="1:26">
      <c r="A6" s="280" t="s">
        <v>731</v>
      </c>
      <c r="B6" s="272">
        <v>36.9</v>
      </c>
      <c r="C6" s="269">
        <v>26.9</v>
      </c>
      <c r="D6" s="269">
        <v>0.8</v>
      </c>
      <c r="E6" s="269">
        <v>9.1999999999999993</v>
      </c>
      <c r="F6" s="288">
        <f t="shared" si="0"/>
        <v>1.5262439508623899E-2</v>
      </c>
      <c r="G6" s="271">
        <f t="shared" si="1"/>
        <v>2.7111469461802054E-2</v>
      </c>
      <c r="H6" s="271">
        <f t="shared" si="2"/>
        <v>1.0922992900054616E-3</v>
      </c>
      <c r="I6" s="273">
        <f t="shared" si="3"/>
        <v>1.3271783035199077E-2</v>
      </c>
      <c r="S6" t="s">
        <v>718</v>
      </c>
      <c r="T6" s="101">
        <v>26429.599999999999</v>
      </c>
      <c r="U6" s="101">
        <v>25951.4</v>
      </c>
      <c r="V6" s="101">
        <v>24177</v>
      </c>
      <c r="W6" s="99">
        <f t="shared" ref="W6:Y12" si="4">+T6/T$14</f>
        <v>0.22337314613540857</v>
      </c>
      <c r="X6" s="99">
        <f t="shared" si="4"/>
        <v>0.21933157764848663</v>
      </c>
      <c r="Y6" s="99">
        <f t="shared" si="4"/>
        <v>0.20433500900943541</v>
      </c>
    </row>
    <row r="7" spans="1:26">
      <c r="A7" s="280" t="s">
        <v>733</v>
      </c>
      <c r="B7" s="272">
        <v>2234.4</v>
      </c>
      <c r="C7" s="269">
        <v>863.3</v>
      </c>
      <c r="D7" s="269">
        <v>708.8</v>
      </c>
      <c r="E7" s="269">
        <v>662.3</v>
      </c>
      <c r="F7" s="288">
        <f t="shared" si="0"/>
        <v>0.92418414195309606</v>
      </c>
      <c r="G7" s="271">
        <f t="shared" si="1"/>
        <v>0.8700866760733722</v>
      </c>
      <c r="H7" s="271">
        <f t="shared" si="2"/>
        <v>0.96777717094483884</v>
      </c>
      <c r="I7" s="273">
        <f t="shared" si="3"/>
        <v>0.95542412002308141</v>
      </c>
      <c r="S7" t="s">
        <v>719</v>
      </c>
      <c r="T7" s="101">
        <v>57739</v>
      </c>
      <c r="U7" s="101">
        <v>58528.800000000003</v>
      </c>
      <c r="V7" s="101">
        <v>59415.4</v>
      </c>
      <c r="W7" s="99">
        <f t="shared" si="4"/>
        <v>0.48798854635379862</v>
      </c>
      <c r="X7" s="99">
        <f t="shared" si="4"/>
        <v>0.49466364211074332</v>
      </c>
      <c r="Y7" s="99">
        <f t="shared" si="4"/>
        <v>0.50215685545349753</v>
      </c>
    </row>
    <row r="8" spans="1:26">
      <c r="A8" s="280" t="s">
        <v>731</v>
      </c>
      <c r="B8" s="272">
        <v>1274.0999999999999</v>
      </c>
      <c r="C8" s="269">
        <v>345.9</v>
      </c>
      <c r="D8" s="269">
        <v>566.70000000000005</v>
      </c>
      <c r="E8" s="269">
        <v>361.4</v>
      </c>
      <c r="F8" s="288">
        <f t="shared" si="0"/>
        <v>0.52698846010671296</v>
      </c>
      <c r="G8" s="271">
        <f t="shared" si="1"/>
        <v>0.34861922999395278</v>
      </c>
      <c r="H8" s="271">
        <f t="shared" si="2"/>
        <v>0.77375750955761891</v>
      </c>
      <c r="I8" s="273">
        <f t="shared" si="3"/>
        <v>0.52135025966532023</v>
      </c>
      <c r="K8" s="1502"/>
      <c r="S8" t="s">
        <v>720</v>
      </c>
      <c r="T8" s="101">
        <v>3516.2</v>
      </c>
      <c r="U8" s="101">
        <v>3358.6</v>
      </c>
      <c r="V8" s="101">
        <v>3180.4</v>
      </c>
      <c r="W8" s="99">
        <f t="shared" si="4"/>
        <v>2.9717614206848521E-2</v>
      </c>
      <c r="X8" s="99">
        <f t="shared" si="4"/>
        <v>2.8385637641522504E-2</v>
      </c>
      <c r="Y8" s="99">
        <f t="shared" si="4"/>
        <v>2.6879557540373428E-2</v>
      </c>
    </row>
    <row r="9" spans="1:26">
      <c r="A9" s="280" t="s">
        <v>734</v>
      </c>
      <c r="B9" s="272">
        <v>25.8</v>
      </c>
      <c r="C9" s="269">
        <v>1.7</v>
      </c>
      <c r="D9" s="269">
        <v>12.2</v>
      </c>
      <c r="E9" s="269">
        <v>12</v>
      </c>
      <c r="F9" s="288">
        <f t="shared" si="0"/>
        <v>1.0671299168631345E-2</v>
      </c>
      <c r="G9" s="271">
        <f t="shared" si="1"/>
        <v>1.7133642410804273E-3</v>
      </c>
      <c r="H9" s="271">
        <f t="shared" si="2"/>
        <v>1.6657564172583288E-2</v>
      </c>
      <c r="I9" s="273">
        <f t="shared" si="3"/>
        <v>1.7311021350259668E-2</v>
      </c>
      <c r="S9" t="s">
        <v>721</v>
      </c>
      <c r="T9" s="101">
        <v>30228.7</v>
      </c>
      <c r="U9" s="101">
        <v>30097.1</v>
      </c>
      <c r="V9" s="101">
        <v>30902.1</v>
      </c>
      <c r="W9" s="99">
        <f t="shared" si="4"/>
        <v>0.25548172589004092</v>
      </c>
      <c r="X9" s="99">
        <f t="shared" si="4"/>
        <v>0.25436949165148187</v>
      </c>
      <c r="Y9" s="99">
        <f t="shared" si="4"/>
        <v>0.26117305215330577</v>
      </c>
    </row>
    <row r="10" spans="1:26">
      <c r="A10" s="280" t="s">
        <v>731</v>
      </c>
      <c r="B10" s="272">
        <v>11.7</v>
      </c>
      <c r="C10" s="269">
        <v>0.2</v>
      </c>
      <c r="D10" s="269">
        <v>5.3</v>
      </c>
      <c r="E10" s="269">
        <v>6.1</v>
      </c>
      <c r="F10" s="288">
        <f t="shared" si="0"/>
        <v>4.8393100881002609E-3</v>
      </c>
      <c r="G10" s="271">
        <f t="shared" si="1"/>
        <v>2.0157226365652087E-4</v>
      </c>
      <c r="H10" s="271">
        <f t="shared" si="2"/>
        <v>7.2364827962861826E-3</v>
      </c>
      <c r="I10" s="273">
        <f t="shared" si="3"/>
        <v>8.7997691863819973E-3</v>
      </c>
      <c r="S10" t="s">
        <v>722</v>
      </c>
      <c r="T10" s="101">
        <v>224.3</v>
      </c>
      <c r="U10" s="101">
        <v>240.1</v>
      </c>
      <c r="V10" s="101">
        <v>513.20000000000005</v>
      </c>
      <c r="W10" s="99">
        <f t="shared" si="4"/>
        <v>1.8957001497628473E-3</v>
      </c>
      <c r="X10" s="99">
        <f t="shared" si="4"/>
        <v>2.029235871413551E-3</v>
      </c>
      <c r="Y10" s="99">
        <f t="shared" si="4"/>
        <v>4.3373754652621197E-3</v>
      </c>
    </row>
    <row r="11" spans="1:26">
      <c r="A11" s="280" t="s">
        <v>735</v>
      </c>
      <c r="B11" s="272">
        <v>1.1000000000000001</v>
      </c>
      <c r="C11" s="269">
        <v>0.7</v>
      </c>
      <c r="D11" s="269">
        <v>0.4</v>
      </c>
      <c r="E11" s="269">
        <v>0</v>
      </c>
      <c r="F11" s="288">
        <f t="shared" si="0"/>
        <v>4.5497787153079379E-4</v>
      </c>
      <c r="G11" s="271">
        <f t="shared" si="1"/>
        <v>7.0550292279782296E-4</v>
      </c>
      <c r="H11" s="271">
        <f t="shared" si="2"/>
        <v>5.4614964500273081E-4</v>
      </c>
      <c r="I11" s="273">
        <f t="shared" si="3"/>
        <v>0</v>
      </c>
      <c r="S11" t="s">
        <v>723</v>
      </c>
      <c r="T11" s="101">
        <v>160.80000000000001</v>
      </c>
      <c r="U11" s="101">
        <v>144.4</v>
      </c>
      <c r="V11" s="101">
        <v>132.30000000000001</v>
      </c>
      <c r="W11" s="99">
        <f t="shared" si="4"/>
        <v>1.3590217747742571E-3</v>
      </c>
      <c r="X11" s="99">
        <f t="shared" si="4"/>
        <v>1.2204150763520068E-3</v>
      </c>
      <c r="Y11" s="99">
        <f t="shared" si="4"/>
        <v>1.1181503781258347E-3</v>
      </c>
    </row>
    <row r="12" spans="1:26">
      <c r="A12" s="280" t="s">
        <v>731</v>
      </c>
      <c r="B12" s="272">
        <v>0.6</v>
      </c>
      <c r="C12" s="267">
        <v>0.6</v>
      </c>
      <c r="D12" s="267">
        <v>0</v>
      </c>
      <c r="E12" s="267">
        <v>0</v>
      </c>
      <c r="F12" s="288">
        <f t="shared" si="0"/>
        <v>2.4816974810770568E-4</v>
      </c>
      <c r="G12" s="271">
        <f t="shared" si="1"/>
        <v>6.0471679096956257E-4</v>
      </c>
      <c r="H12" s="271">
        <f t="shared" si="2"/>
        <v>0</v>
      </c>
      <c r="I12" s="273">
        <f t="shared" si="3"/>
        <v>0</v>
      </c>
      <c r="S12" t="s">
        <v>724</v>
      </c>
      <c r="T12" s="101">
        <v>21.8</v>
      </c>
      <c r="U12" s="101">
        <v>0</v>
      </c>
      <c r="V12" s="101">
        <v>0</v>
      </c>
      <c r="W12" s="99">
        <f t="shared" si="4"/>
        <v>1.842454893661617E-4</v>
      </c>
      <c r="X12" s="99">
        <f t="shared" si="4"/>
        <v>0</v>
      </c>
      <c r="Y12" s="99">
        <f t="shared" si="4"/>
        <v>0</v>
      </c>
    </row>
    <row r="13" spans="1:26">
      <c r="A13" s="280" t="s">
        <v>736</v>
      </c>
      <c r="B13" s="272">
        <v>81.099999999999994</v>
      </c>
      <c r="C13" s="267">
        <v>69</v>
      </c>
      <c r="D13" s="267">
        <v>8.1999999999999993</v>
      </c>
      <c r="E13" s="267">
        <v>3.9</v>
      </c>
      <c r="F13" s="288">
        <f t="shared" si="0"/>
        <v>3.3544277619224884E-2</v>
      </c>
      <c r="G13" s="271">
        <f t="shared" si="1"/>
        <v>6.9542430961499688E-2</v>
      </c>
      <c r="H13" s="271">
        <f t="shared" si="2"/>
        <v>1.1196067722555979E-2</v>
      </c>
      <c r="I13" s="273">
        <f t="shared" si="3"/>
        <v>5.626081938834392E-3</v>
      </c>
      <c r="S13" s="244"/>
      <c r="T13" s="245"/>
      <c r="U13" s="245"/>
      <c r="V13" s="245"/>
      <c r="W13" s="244"/>
      <c r="X13" s="244"/>
      <c r="Y13" s="244"/>
    </row>
    <row r="14" spans="1:26">
      <c r="A14" s="280" t="s">
        <v>731</v>
      </c>
      <c r="B14" s="272">
        <v>71.7</v>
      </c>
      <c r="C14" s="267">
        <v>61.4</v>
      </c>
      <c r="D14" s="267">
        <v>6.7</v>
      </c>
      <c r="E14" s="267">
        <v>3.6</v>
      </c>
      <c r="F14" s="288">
        <f t="shared" si="0"/>
        <v>2.965628489887083E-2</v>
      </c>
      <c r="G14" s="271">
        <f t="shared" si="1"/>
        <v>6.1882684942551898E-2</v>
      </c>
      <c r="H14" s="271">
        <f t="shared" si="2"/>
        <v>9.1480065537957404E-3</v>
      </c>
      <c r="I14" s="273">
        <f t="shared" si="3"/>
        <v>5.1933064050779E-3</v>
      </c>
      <c r="S14" t="s">
        <v>725</v>
      </c>
      <c r="T14" s="101">
        <f t="shared" ref="T14:Y14" si="5">+SUM(T6:T12)</f>
        <v>118320.40000000001</v>
      </c>
      <c r="U14" s="101">
        <f t="shared" si="5"/>
        <v>118320.40000000002</v>
      </c>
      <c r="V14" s="101">
        <f t="shared" si="5"/>
        <v>118320.4</v>
      </c>
      <c r="W14" s="246">
        <f t="shared" si="5"/>
        <v>0.99999999999999978</v>
      </c>
      <c r="X14" s="246">
        <f t="shared" si="5"/>
        <v>0.99999999999999978</v>
      </c>
      <c r="Y14" s="246">
        <f t="shared" si="5"/>
        <v>1.0000000000000002</v>
      </c>
    </row>
    <row r="15" spans="1:26">
      <c r="A15" s="280" t="s">
        <v>737</v>
      </c>
      <c r="B15" s="272">
        <v>2.6</v>
      </c>
      <c r="C15" s="270">
        <v>2.6</v>
      </c>
      <c r="D15" s="270">
        <v>0</v>
      </c>
      <c r="E15" s="270">
        <v>0</v>
      </c>
      <c r="F15" s="288">
        <f t="shared" si="0"/>
        <v>1.0754022418000581E-3</v>
      </c>
      <c r="G15" s="271">
        <f t="shared" si="1"/>
        <v>2.6204394275347711E-3</v>
      </c>
      <c r="H15" s="271">
        <f t="shared" si="2"/>
        <v>0</v>
      </c>
      <c r="I15" s="273">
        <f t="shared" si="3"/>
        <v>0</v>
      </c>
      <c r="S15" s="244"/>
      <c r="T15" s="244"/>
      <c r="U15" s="244"/>
      <c r="V15" s="244"/>
      <c r="W15" s="244"/>
      <c r="X15" s="244"/>
      <c r="Y15" s="244"/>
    </row>
    <row r="16" spans="1:26">
      <c r="A16" s="280" t="s">
        <v>731</v>
      </c>
      <c r="B16" s="272">
        <v>0</v>
      </c>
      <c r="C16" s="270">
        <v>0</v>
      </c>
      <c r="D16" s="270">
        <v>0</v>
      </c>
      <c r="E16" s="270">
        <v>0</v>
      </c>
      <c r="F16" s="288">
        <f t="shared" si="0"/>
        <v>0</v>
      </c>
      <c r="G16" s="271">
        <f t="shared" si="1"/>
        <v>0</v>
      </c>
      <c r="H16" s="271">
        <f t="shared" si="2"/>
        <v>0</v>
      </c>
      <c r="I16" s="273">
        <f t="shared" si="3"/>
        <v>0</v>
      </c>
      <c r="S16" s="1638" t="s">
        <v>747</v>
      </c>
      <c r="T16" s="1638"/>
      <c r="U16" s="1638"/>
      <c r="V16" s="1638"/>
      <c r="W16" s="1638"/>
      <c r="X16" s="1638"/>
      <c r="Y16" s="1638"/>
    </row>
    <row r="17" spans="1:26">
      <c r="A17" s="280" t="s">
        <v>738</v>
      </c>
      <c r="B17" s="272">
        <v>4.2</v>
      </c>
      <c r="C17" s="270">
        <v>3.9</v>
      </c>
      <c r="D17" s="270">
        <v>0.3</v>
      </c>
      <c r="E17" s="270">
        <v>0</v>
      </c>
      <c r="F17" s="288">
        <f t="shared" si="0"/>
        <v>1.73718823675394E-3</v>
      </c>
      <c r="G17" s="271">
        <f t="shared" si="1"/>
        <v>3.9306591413021561E-3</v>
      </c>
      <c r="H17" s="271">
        <f t="shared" si="2"/>
        <v>4.0961223375204805E-4</v>
      </c>
      <c r="I17" s="273">
        <f t="shared" si="3"/>
        <v>0</v>
      </c>
      <c r="V17" s="254"/>
      <c r="W17" s="254"/>
    </row>
    <row r="18" spans="1:26">
      <c r="A18" s="280" t="s">
        <v>731</v>
      </c>
      <c r="B18" s="272">
        <v>0</v>
      </c>
      <c r="C18" s="270">
        <v>0</v>
      </c>
      <c r="D18" s="270">
        <v>0</v>
      </c>
      <c r="E18" s="270">
        <v>0</v>
      </c>
      <c r="F18" s="288">
        <f t="shared" si="0"/>
        <v>0</v>
      </c>
      <c r="G18" s="271">
        <f t="shared" si="1"/>
        <v>0</v>
      </c>
      <c r="H18" s="271">
        <f t="shared" si="2"/>
        <v>0</v>
      </c>
      <c r="I18" s="273">
        <f t="shared" si="3"/>
        <v>0</v>
      </c>
      <c r="V18" s="254"/>
      <c r="W18" s="254"/>
    </row>
    <row r="19" spans="1:26">
      <c r="A19" s="280" t="s">
        <v>739</v>
      </c>
      <c r="B19" s="272">
        <v>6.2</v>
      </c>
      <c r="C19" s="270">
        <v>0</v>
      </c>
      <c r="D19" s="270">
        <v>1.1000000000000001</v>
      </c>
      <c r="E19" s="270">
        <v>5.0999999999999996</v>
      </c>
      <c r="F19" s="288">
        <f t="shared" si="0"/>
        <v>2.5644207304462924E-3</v>
      </c>
      <c r="G19" s="271">
        <f t="shared" si="1"/>
        <v>0</v>
      </c>
      <c r="H19" s="271">
        <f t="shared" si="2"/>
        <v>1.5019115237575097E-3</v>
      </c>
      <c r="I19" s="273">
        <f t="shared" si="3"/>
        <v>7.3571840738603581E-3</v>
      </c>
      <c r="T19" s="1641" t="s">
        <v>726</v>
      </c>
      <c r="U19" s="1642"/>
      <c r="V19" s="1641" t="s">
        <v>727</v>
      </c>
      <c r="W19" s="1642"/>
    </row>
    <row r="20" spans="1:26" ht="16.5" thickBot="1">
      <c r="A20" s="281" t="s">
        <v>731</v>
      </c>
      <c r="B20" s="272">
        <v>6.1</v>
      </c>
      <c r="C20" s="270">
        <v>0</v>
      </c>
      <c r="D20" s="268">
        <v>1.1000000000000001</v>
      </c>
      <c r="E20" s="268">
        <v>5.0999999999999996</v>
      </c>
      <c r="F20" s="288">
        <f t="shared" si="0"/>
        <v>2.5230591057616744E-3</v>
      </c>
      <c r="G20" s="271">
        <f t="shared" si="1"/>
        <v>0</v>
      </c>
      <c r="H20" s="271">
        <f t="shared" si="2"/>
        <v>1.5019115237575097E-3</v>
      </c>
      <c r="I20" s="273">
        <f t="shared" si="3"/>
        <v>7.3571840738603581E-3</v>
      </c>
      <c r="T20" s="247" t="s">
        <v>728</v>
      </c>
      <c r="U20" s="247" t="s">
        <v>729</v>
      </c>
      <c r="V20" s="247" t="s">
        <v>728</v>
      </c>
      <c r="W20" s="247" t="s">
        <v>729</v>
      </c>
      <c r="Y20" s="247"/>
    </row>
    <row r="21" spans="1:26">
      <c r="A21" s="283" t="s">
        <v>33</v>
      </c>
      <c r="B21" s="284">
        <f t="shared" ref="B21:E22" si="6">+B5+B7+B9+B11+B13+B15+B17+B19</f>
        <v>2417.6999999999998</v>
      </c>
      <c r="C21" s="284">
        <f t="shared" si="6"/>
        <v>992.2</v>
      </c>
      <c r="D21" s="284">
        <f t="shared" si="6"/>
        <v>732.4</v>
      </c>
      <c r="E21" s="284">
        <f t="shared" si="6"/>
        <v>693.19999999999993</v>
      </c>
      <c r="F21" s="289">
        <f t="shared" si="0"/>
        <v>1</v>
      </c>
      <c r="G21" s="285">
        <f t="shared" si="1"/>
        <v>1</v>
      </c>
      <c r="H21" s="285">
        <f t="shared" si="2"/>
        <v>1</v>
      </c>
      <c r="I21" s="286">
        <f t="shared" si="3"/>
        <v>1</v>
      </c>
      <c r="S21" t="s">
        <v>718</v>
      </c>
      <c r="T21">
        <f t="shared" ref="T21:U25" si="7">+(U6-T6)/10</f>
        <v>-47.819999999999709</v>
      </c>
      <c r="U21">
        <f t="shared" si="7"/>
        <v>-177.44000000000014</v>
      </c>
      <c r="V21" s="248">
        <f t="shared" ref="V21:W25" si="8">+T21/T6</f>
        <v>-1.8093349880436978E-3</v>
      </c>
      <c r="W21" s="248">
        <f t="shared" si="8"/>
        <v>-6.8373960557041287E-3</v>
      </c>
      <c r="Y21" s="101"/>
      <c r="Z21" s="101"/>
    </row>
    <row r="22" spans="1:26" ht="15.75" thickBot="1">
      <c r="A22" s="282" t="s">
        <v>731</v>
      </c>
      <c r="B22" s="274">
        <f t="shared" si="6"/>
        <v>1401.1</v>
      </c>
      <c r="C22" s="274">
        <f t="shared" si="6"/>
        <v>434.99999999999994</v>
      </c>
      <c r="D22" s="274">
        <f t="shared" si="6"/>
        <v>580.6</v>
      </c>
      <c r="E22" s="274">
        <f t="shared" si="6"/>
        <v>385.40000000000003</v>
      </c>
      <c r="F22" s="290">
        <f t="shared" si="0"/>
        <v>0.57951772345617736</v>
      </c>
      <c r="G22" s="275">
        <f t="shared" si="1"/>
        <v>0.43841967345293281</v>
      </c>
      <c r="H22" s="275">
        <f t="shared" si="2"/>
        <v>0.79273620972146375</v>
      </c>
      <c r="I22" s="276">
        <f t="shared" si="3"/>
        <v>0.55597230236583972</v>
      </c>
      <c r="M22" s="266"/>
      <c r="N22" s="265"/>
      <c r="O22" s="264"/>
      <c r="P22" s="264"/>
      <c r="Q22" s="265"/>
      <c r="R22" s="261"/>
      <c r="S22" t="s">
        <v>719</v>
      </c>
      <c r="T22">
        <f t="shared" si="7"/>
        <v>78.980000000000288</v>
      </c>
      <c r="U22">
        <f t="shared" si="7"/>
        <v>88.659999999999854</v>
      </c>
      <c r="V22" s="248">
        <f t="shared" si="8"/>
        <v>1.3678795961135505E-3</v>
      </c>
      <c r="W22" s="248">
        <f t="shared" si="8"/>
        <v>1.5148098030371346E-3</v>
      </c>
      <c r="Y22" s="101"/>
      <c r="Z22" s="101"/>
    </row>
    <row r="23" spans="1:26" ht="14.1" customHeight="1">
      <c r="A23" s="1639" t="s">
        <v>743</v>
      </c>
      <c r="B23" s="1640"/>
      <c r="C23" s="1640"/>
      <c r="D23" s="1640"/>
      <c r="E23" s="1640"/>
      <c r="F23" s="1640"/>
      <c r="G23" s="1640"/>
      <c r="H23" s="1640"/>
      <c r="I23" s="1640"/>
      <c r="N23" s="130"/>
      <c r="O23" s="130"/>
      <c r="P23" s="130"/>
      <c r="Q23" s="130"/>
      <c r="S23" t="s">
        <v>720</v>
      </c>
      <c r="T23">
        <f t="shared" si="7"/>
        <v>-15.759999999999991</v>
      </c>
      <c r="U23">
        <f t="shared" si="7"/>
        <v>-17.819999999999983</v>
      </c>
      <c r="V23" s="248">
        <f t="shared" si="8"/>
        <v>-4.4821113702292227E-3</v>
      </c>
      <c r="W23" s="248">
        <f t="shared" si="8"/>
        <v>-5.305782171142733E-3</v>
      </c>
      <c r="Y23" s="101"/>
      <c r="Z23" s="101"/>
    </row>
    <row r="24" spans="1:26">
      <c r="M24" s="266"/>
      <c r="N24" s="130"/>
      <c r="O24" s="130"/>
      <c r="P24" s="130"/>
      <c r="Q24" s="130"/>
      <c r="S24" t="s">
        <v>721</v>
      </c>
      <c r="T24">
        <f t="shared" si="7"/>
        <v>-13.160000000000219</v>
      </c>
      <c r="U24">
        <f t="shared" si="7"/>
        <v>80.5</v>
      </c>
      <c r="V24" s="248">
        <f t="shared" si="8"/>
        <v>-4.3534786477751998E-4</v>
      </c>
      <c r="W24" s="248">
        <f t="shared" si="8"/>
        <v>2.6746762977163914E-3</v>
      </c>
      <c r="Y24" s="101"/>
      <c r="Z24" s="101"/>
    </row>
    <row r="25" spans="1:26">
      <c r="N25" s="130"/>
      <c r="O25" s="130"/>
      <c r="P25" s="130"/>
      <c r="Q25" s="130"/>
      <c r="S25" t="s">
        <v>722</v>
      </c>
      <c r="T25">
        <f t="shared" si="7"/>
        <v>1.5799999999999983</v>
      </c>
      <c r="U25">
        <f t="shared" si="7"/>
        <v>27.310000000000002</v>
      </c>
      <c r="V25" s="248">
        <f t="shared" si="8"/>
        <v>7.044137316094508E-3</v>
      </c>
      <c r="W25" s="248">
        <f t="shared" si="8"/>
        <v>0.11374427321949189</v>
      </c>
      <c r="Y25" s="101"/>
      <c r="Z25" s="101"/>
    </row>
    <row r="26" spans="1:26" ht="22.5">
      <c r="A26" s="1269"/>
    </row>
    <row r="27" spans="1:26" ht="15.75">
      <c r="A27" s="1564" t="s">
        <v>730</v>
      </c>
      <c r="B27" s="1566"/>
      <c r="C27" s="1567"/>
      <c r="D27" s="1568"/>
      <c r="E27" s="1568"/>
      <c r="F27" s="1569"/>
    </row>
    <row r="28" spans="1:26" ht="51" customHeight="1" thickBot="1">
      <c r="A28" s="949" t="s">
        <v>1362</v>
      </c>
      <c r="B28" s="1565">
        <v>8</v>
      </c>
      <c r="C28" s="950" t="s">
        <v>1363</v>
      </c>
      <c r="D28" s="1635" t="s">
        <v>1857</v>
      </c>
      <c r="E28" s="1635"/>
      <c r="F28" s="1635"/>
      <c r="G28" s="1635"/>
      <c r="H28" s="1635"/>
    </row>
    <row r="29" spans="1:26" ht="29.25" customHeight="1">
      <c r="A29" s="1190" t="s">
        <v>1364</v>
      </c>
      <c r="B29" s="1186">
        <v>2</v>
      </c>
      <c r="C29" s="1187" t="s">
        <v>1363</v>
      </c>
      <c r="D29" s="1643" t="s">
        <v>1565</v>
      </c>
      <c r="E29" s="1643"/>
      <c r="F29" s="1644"/>
    </row>
    <row r="30" spans="1:26" ht="26.25">
      <c r="A30" s="1191" t="s">
        <v>1365</v>
      </c>
      <c r="B30" s="1188">
        <v>4</v>
      </c>
      <c r="C30" s="950" t="s">
        <v>1363</v>
      </c>
      <c r="D30" s="1645"/>
      <c r="E30" s="1645"/>
      <c r="F30" s="1646"/>
    </row>
    <row r="31" spans="1:26" ht="15.75" thickBot="1">
      <c r="A31" s="1192" t="s">
        <v>1366</v>
      </c>
      <c r="B31" s="584">
        <f>+(B30+B29)/2</f>
        <v>3</v>
      </c>
      <c r="C31" s="1189" t="s">
        <v>1363</v>
      </c>
      <c r="D31" s="1647"/>
      <c r="E31" s="1647"/>
      <c r="F31" s="1648"/>
    </row>
    <row r="32" spans="1:26">
      <c r="C32" s="945"/>
      <c r="D32" s="945"/>
      <c r="E32" s="945"/>
      <c r="F32" s="945"/>
      <c r="G32" s="945"/>
      <c r="H32" s="945"/>
      <c r="I32" s="945"/>
      <c r="J32" s="945"/>
      <c r="K32" s="945"/>
    </row>
    <row r="33" spans="1:26">
      <c r="G33" s="249"/>
    </row>
    <row r="34" spans="1:26" ht="26.25">
      <c r="A34" s="1039" t="s">
        <v>1410</v>
      </c>
      <c r="B34" s="1039" t="s">
        <v>139</v>
      </c>
      <c r="C34" s="1040" t="s">
        <v>1408</v>
      </c>
      <c r="D34" s="1040" t="s">
        <v>1409</v>
      </c>
      <c r="E34" s="1041"/>
      <c r="F34" s="1042" t="s">
        <v>1368</v>
      </c>
      <c r="G34" s="249"/>
      <c r="H34" s="249"/>
      <c r="I34" s="249"/>
      <c r="J34" s="249"/>
      <c r="K34" s="249"/>
      <c r="L34" s="249"/>
    </row>
    <row r="35" spans="1:26">
      <c r="A35" s="213" t="s">
        <v>1367</v>
      </c>
      <c r="B35" s="947" t="s">
        <v>207</v>
      </c>
      <c r="C35" s="213">
        <v>2</v>
      </c>
      <c r="D35" s="213">
        <v>4.8</v>
      </c>
      <c r="E35" s="1033"/>
      <c r="F35" s="958" t="s">
        <v>1369</v>
      </c>
      <c r="G35" s="249"/>
      <c r="H35" s="249"/>
      <c r="I35" s="249"/>
      <c r="J35" s="249"/>
      <c r="K35" s="249"/>
      <c r="L35" s="249"/>
    </row>
    <row r="36" spans="1:26">
      <c r="A36" s="213" t="s">
        <v>1370</v>
      </c>
      <c r="B36" s="213" t="s">
        <v>1371</v>
      </c>
      <c r="C36" s="213">
        <v>2.2999999999999998</v>
      </c>
      <c r="D36" s="213" t="s">
        <v>1372</v>
      </c>
      <c r="E36" s="1033"/>
      <c r="F36" s="958" t="s">
        <v>1369</v>
      </c>
      <c r="G36" s="249"/>
      <c r="H36" s="249"/>
      <c r="I36" s="249"/>
      <c r="J36" s="249"/>
      <c r="K36" s="249"/>
      <c r="L36" s="249"/>
    </row>
    <row r="37" spans="1:26">
      <c r="A37" s="213" t="s">
        <v>1407</v>
      </c>
      <c r="B37" s="213" t="s">
        <v>22</v>
      </c>
      <c r="C37" s="213">
        <v>2</v>
      </c>
      <c r="D37" s="213">
        <v>3.5</v>
      </c>
      <c r="E37" s="1033"/>
      <c r="F37" s="958" t="s">
        <v>1373</v>
      </c>
      <c r="G37" s="249"/>
      <c r="H37" s="249"/>
      <c r="I37" s="249"/>
      <c r="J37" s="249"/>
      <c r="K37" s="249"/>
      <c r="L37" s="249"/>
    </row>
    <row r="38" spans="1:26">
      <c r="A38" s="213"/>
      <c r="B38" s="1039" t="s">
        <v>1418</v>
      </c>
      <c r="C38" s="1037" t="s">
        <v>1412</v>
      </c>
      <c r="D38" s="1037" t="s">
        <v>1413</v>
      </c>
      <c r="E38" s="1038" t="s">
        <v>1414</v>
      </c>
      <c r="F38" s="179"/>
      <c r="G38" s="249"/>
      <c r="H38" s="249"/>
      <c r="I38" s="249"/>
      <c r="J38" s="249"/>
      <c r="K38" s="249"/>
      <c r="L38" s="249"/>
    </row>
    <row r="39" spans="1:26" ht="14.1" customHeight="1">
      <c r="A39" s="213" t="s">
        <v>1374</v>
      </c>
      <c r="B39" s="213" t="s">
        <v>1419</v>
      </c>
      <c r="C39" s="650">
        <f>1.52/0.778</f>
        <v>1.9537275064267352</v>
      </c>
      <c r="D39" s="250">
        <f>1.45/0.778</f>
        <v>1.8637532133676091</v>
      </c>
      <c r="E39" s="1035">
        <f>1.56/0.778</f>
        <v>2.005141388174807</v>
      </c>
      <c r="F39" s="1637" t="s">
        <v>1415</v>
      </c>
      <c r="G39" s="1637"/>
      <c r="H39" s="249"/>
      <c r="I39" s="249"/>
      <c r="J39" s="249"/>
      <c r="K39" s="249"/>
      <c r="L39" s="249"/>
      <c r="X39" s="130"/>
      <c r="Y39" s="441"/>
      <c r="Z39" s="428"/>
    </row>
    <row r="40" spans="1:26" ht="14.1" customHeight="1">
      <c r="A40" s="213" t="s">
        <v>1411</v>
      </c>
      <c r="B40" s="213" t="s">
        <v>1419</v>
      </c>
      <c r="C40" s="650">
        <f>1.41/0.778</f>
        <v>1.8123393316195371</v>
      </c>
      <c r="D40" s="250">
        <f>1.95/0.778</f>
        <v>2.506426735218509</v>
      </c>
      <c r="E40" s="1033"/>
      <c r="F40" s="1637"/>
      <c r="G40" s="1637"/>
      <c r="H40" s="249"/>
      <c r="I40" s="249"/>
      <c r="J40" s="249"/>
      <c r="K40" s="249"/>
      <c r="L40" s="249"/>
      <c r="X40" s="130"/>
      <c r="Y40" s="441"/>
      <c r="Z40" s="428"/>
    </row>
    <row r="41" spans="1:26">
      <c r="A41" s="213" t="s">
        <v>1416</v>
      </c>
      <c r="B41" s="213" t="s">
        <v>1419</v>
      </c>
      <c r="C41" s="650">
        <f>1.17/0.778</f>
        <v>1.5038560411311053</v>
      </c>
      <c r="D41" s="250">
        <f>1.48/0.778</f>
        <v>1.9023136246786632</v>
      </c>
      <c r="E41" s="1033"/>
      <c r="F41" s="1637"/>
      <c r="G41" s="1637"/>
      <c r="H41" s="249"/>
      <c r="I41" s="249"/>
      <c r="J41" s="249"/>
      <c r="K41" s="249"/>
      <c r="L41" s="249"/>
      <c r="X41" s="130"/>
      <c r="Y41" s="441"/>
      <c r="Z41" s="428"/>
    </row>
    <row r="42" spans="1:26">
      <c r="A42" s="213" t="s">
        <v>1417</v>
      </c>
      <c r="B42" s="213" t="s">
        <v>1420</v>
      </c>
      <c r="C42" s="650">
        <f>2.15/0.778</f>
        <v>2.7634961439588688</v>
      </c>
      <c r="D42" s="250">
        <f>2.65/0.778</f>
        <v>3.4061696658097684</v>
      </c>
      <c r="E42" s="1033">
        <f>3.37/0.778</f>
        <v>4.3316195372750643</v>
      </c>
      <c r="F42" s="1637"/>
      <c r="G42" s="1637"/>
      <c r="H42" s="249"/>
      <c r="I42" s="249"/>
      <c r="J42" s="249"/>
      <c r="K42" s="249"/>
      <c r="L42" s="249"/>
      <c r="X42" s="130"/>
      <c r="Y42" s="441"/>
      <c r="Z42" s="428"/>
    </row>
    <row r="43" spans="1:26">
      <c r="A43" s="213"/>
      <c r="B43" s="213"/>
      <c r="C43" s="650"/>
      <c r="D43" s="250"/>
      <c r="E43" s="1033"/>
      <c r="F43" s="1036"/>
      <c r="G43" s="1036"/>
      <c r="H43" s="249"/>
      <c r="I43" s="249"/>
      <c r="J43" s="249"/>
      <c r="K43" s="249"/>
      <c r="L43" s="249"/>
      <c r="X43" s="130"/>
      <c r="Y43" s="441"/>
      <c r="Z43" s="428"/>
    </row>
    <row r="44" spans="1:26">
      <c r="A44" s="213"/>
      <c r="B44" s="249"/>
      <c r="C44" s="1034"/>
      <c r="D44" s="249"/>
      <c r="E44" s="1033"/>
      <c r="F44" s="1036"/>
      <c r="G44" s="1036"/>
      <c r="H44" s="249"/>
      <c r="I44" s="249"/>
      <c r="J44" s="249"/>
      <c r="K44" s="249"/>
      <c r="L44" s="249"/>
    </row>
    <row r="47" spans="1:26" ht="22.5">
      <c r="A47" s="1043" t="s">
        <v>746</v>
      </c>
    </row>
    <row r="48" spans="1:26" ht="16.5" thickBot="1">
      <c r="A48" s="105" t="s">
        <v>749</v>
      </c>
      <c r="B48" s="1636" t="s">
        <v>1566</v>
      </c>
      <c r="C48" s="1636"/>
      <c r="D48" s="1636" t="s">
        <v>1567</v>
      </c>
      <c r="E48" s="1636"/>
    </row>
    <row r="49" spans="1:23" ht="30.75" thickBot="1">
      <c r="A49" s="277" t="s">
        <v>744</v>
      </c>
      <c r="B49" s="953" t="s">
        <v>1620</v>
      </c>
      <c r="C49" s="952" t="s">
        <v>1621</v>
      </c>
      <c r="D49" s="953" t="s">
        <v>1620</v>
      </c>
      <c r="E49" s="952" t="s">
        <v>1621</v>
      </c>
    </row>
    <row r="50" spans="1:23" ht="14.1" customHeight="1">
      <c r="A50" s="296" t="s">
        <v>22</v>
      </c>
      <c r="B50" s="297"/>
      <c r="C50" s="298"/>
      <c r="D50" s="1194"/>
      <c r="E50" s="1195"/>
      <c r="F50" s="527"/>
      <c r="G50" t="s">
        <v>1622</v>
      </c>
      <c r="H50" s="101">
        <f>+D52</f>
        <v>84000</v>
      </c>
    </row>
    <row r="51" spans="1:23" ht="30">
      <c r="A51" s="262" t="s">
        <v>1568</v>
      </c>
      <c r="B51" s="291">
        <f>+(B5+B7)*1000</f>
        <v>2296700.0000000005</v>
      </c>
      <c r="C51" s="292">
        <f>+C54+C57+C60</f>
        <v>7132200</v>
      </c>
      <c r="D51" s="1193">
        <f>+(B9+B11+B13+B15+B17)*1000</f>
        <v>114800</v>
      </c>
      <c r="E51" s="1196">
        <f>+D51*$B$28</f>
        <v>918400</v>
      </c>
      <c r="F51" s="527"/>
      <c r="G51" s="527" t="s">
        <v>1623</v>
      </c>
      <c r="H51" s="1236">
        <f>+E52</f>
        <v>672000</v>
      </c>
    </row>
    <row r="52" spans="1:23" ht="15.75" thickBot="1">
      <c r="A52" s="262" t="s">
        <v>745</v>
      </c>
      <c r="B52" s="291">
        <f>+(B6+B8)*1000</f>
        <v>1311000</v>
      </c>
      <c r="C52" s="292">
        <f>+C55+C58+C61</f>
        <v>3934900</v>
      </c>
      <c r="D52" s="1197">
        <f>+(B10+B12+B14+B16+B18)*1000</f>
        <v>84000</v>
      </c>
      <c r="E52" s="1198">
        <f>+D52*$B$28</f>
        <v>672000</v>
      </c>
      <c r="F52" s="527"/>
      <c r="G52" s="527" t="s">
        <v>1624</v>
      </c>
      <c r="H52" s="1235">
        <f>+B80</f>
        <v>231551.88865714282</v>
      </c>
    </row>
    <row r="53" spans="1:23">
      <c r="A53" s="301" t="s">
        <v>654</v>
      </c>
      <c r="B53" s="255"/>
      <c r="C53" s="256"/>
      <c r="D53" s="1193"/>
      <c r="E53" s="652"/>
      <c r="F53" s="101"/>
    </row>
    <row r="54" spans="1:23">
      <c r="A54" s="262" t="s">
        <v>1568</v>
      </c>
      <c r="B54" s="291">
        <f>+(C5+C7)*1000</f>
        <v>914300</v>
      </c>
      <c r="C54" s="292">
        <f>+B54*B30</f>
        <v>3657200</v>
      </c>
      <c r="D54" s="1193">
        <f>+(C9+C11+C13+C15+C17+C19)*1000</f>
        <v>77900</v>
      </c>
      <c r="E54" s="1196">
        <f>+D54*$B$28</f>
        <v>623200</v>
      </c>
      <c r="F54" s="101"/>
    </row>
    <row r="55" spans="1:23" ht="15.75" thickBot="1">
      <c r="A55" s="262" t="s">
        <v>745</v>
      </c>
      <c r="B55" s="291">
        <f>+(C6+C8)*1000</f>
        <v>372799.99999999994</v>
      </c>
      <c r="C55" s="292">
        <f>+B55*B30</f>
        <v>1491199.9999999998</v>
      </c>
      <c r="D55" s="1197">
        <f>+(C10+C12+C14+C16+C18+C20)*1000-H65/1000</f>
        <v>62199.999999999993</v>
      </c>
      <c r="E55" s="1198">
        <f>+D55*$B$28</f>
        <v>497599.99999999994</v>
      </c>
      <c r="F55" s="101"/>
    </row>
    <row r="56" spans="1:23">
      <c r="A56" s="301" t="s">
        <v>655</v>
      </c>
      <c r="B56" s="255"/>
      <c r="C56" s="256"/>
      <c r="D56" s="1193"/>
      <c r="E56" s="652"/>
      <c r="F56" s="101"/>
    </row>
    <row r="57" spans="1:23">
      <c r="A57" s="262" t="s">
        <v>1568</v>
      </c>
      <c r="B57" s="291">
        <f>+(D5+D7)*1000</f>
        <v>710199.99999999988</v>
      </c>
      <c r="C57" s="292">
        <f>+B57*B31</f>
        <v>2130599.9999999995</v>
      </c>
      <c r="D57" s="1193">
        <f>+(D9+D11+D13+D15+D17+D19)*1000</f>
        <v>22200</v>
      </c>
      <c r="E57" s="1196">
        <f>+D57*$B$28</f>
        <v>177600</v>
      </c>
      <c r="F57" s="101"/>
    </row>
    <row r="58" spans="1:23" ht="15.75" thickBot="1">
      <c r="A58" s="262" t="s">
        <v>745</v>
      </c>
      <c r="B58" s="291">
        <f>+(D6+D8)*1000</f>
        <v>567500</v>
      </c>
      <c r="C58" s="292">
        <f>+B58*B31</f>
        <v>1702500</v>
      </c>
      <c r="D58" s="1197">
        <f>+(D10+D12+D14+D16+D18+D20)*1000</f>
        <v>13100</v>
      </c>
      <c r="E58" s="1198">
        <f>+D58*$B$28</f>
        <v>104800</v>
      </c>
      <c r="F58" s="101"/>
    </row>
    <row r="59" spans="1:23">
      <c r="A59" s="301" t="s">
        <v>656</v>
      </c>
      <c r="B59" s="299"/>
      <c r="C59" s="300"/>
      <c r="D59" s="1193"/>
      <c r="E59" s="652"/>
      <c r="F59" s="101"/>
    </row>
    <row r="60" spans="1:23">
      <c r="A60" s="262" t="s">
        <v>1568</v>
      </c>
      <c r="B60" s="291">
        <f>+(E5+E7)*1000</f>
        <v>672199.99999999988</v>
      </c>
      <c r="C60" s="292">
        <f>+B60*B29</f>
        <v>1344399.9999999998</v>
      </c>
      <c r="D60" s="1193">
        <f>+(E9+E11+E13+E15+E17+E19)*1000</f>
        <v>21000</v>
      </c>
      <c r="E60" s="1196">
        <f>+D60*$B$28</f>
        <v>168000</v>
      </c>
      <c r="F60" s="101"/>
    </row>
    <row r="61" spans="1:23" ht="15.75" thickBot="1">
      <c r="A61" s="263" t="s">
        <v>745</v>
      </c>
      <c r="B61" s="293">
        <f>+(E6+E8)*1000</f>
        <v>370599.99999999994</v>
      </c>
      <c r="C61" s="295">
        <f>+B61*B29</f>
        <v>741199.99999999988</v>
      </c>
      <c r="D61" s="1197">
        <f>+(E10+E12+E14+E16+E18+E20)*1000</f>
        <v>14799.999999999998</v>
      </c>
      <c r="E61" s="1198">
        <f>+D61*$B$28</f>
        <v>118399.99999999999</v>
      </c>
      <c r="F61" s="101"/>
    </row>
    <row r="62" spans="1:23">
      <c r="R62" s="249"/>
      <c r="S62" s="249"/>
      <c r="T62" s="249"/>
      <c r="U62" s="249"/>
      <c r="V62" s="249"/>
      <c r="W62" s="249"/>
    </row>
    <row r="63" spans="1:23">
      <c r="R63" s="249"/>
      <c r="S63" s="249"/>
      <c r="T63" s="249"/>
      <c r="U63" s="249"/>
      <c r="V63" s="249"/>
      <c r="W63" s="249"/>
    </row>
    <row r="64" spans="1:23" ht="23.25" thickBot="1">
      <c r="A64" s="1045" t="s">
        <v>1422</v>
      </c>
      <c r="B64" s="1044"/>
      <c r="C64" s="1044"/>
      <c r="D64" s="335"/>
      <c r="R64" s="249"/>
      <c r="S64" s="249"/>
      <c r="T64" s="249"/>
      <c r="U64" s="249"/>
      <c r="V64" s="249"/>
      <c r="W64" s="249"/>
    </row>
    <row r="65" spans="1:23" ht="15.75" thickBot="1">
      <c r="A65" s="1143" t="s">
        <v>1421</v>
      </c>
      <c r="B65" s="1144" t="s">
        <v>1375</v>
      </c>
      <c r="C65" s="1144" t="s">
        <v>654</v>
      </c>
      <c r="D65" s="1144" t="s">
        <v>655</v>
      </c>
      <c r="E65" s="1145" t="s">
        <v>656</v>
      </c>
      <c r="H65" s="514"/>
      <c r="R65" s="249"/>
      <c r="S65" s="390"/>
      <c r="T65" s="390"/>
      <c r="U65" s="390"/>
      <c r="V65" s="390"/>
      <c r="W65" s="408"/>
    </row>
    <row r="66" spans="1:23" ht="30">
      <c r="A66" s="943" t="s">
        <v>985</v>
      </c>
      <c r="B66" s="1175" t="s">
        <v>1305</v>
      </c>
      <c r="C66" s="255"/>
      <c r="D66" s="255"/>
      <c r="E66" s="256"/>
      <c r="H66" s="514"/>
      <c r="R66" s="249"/>
      <c r="S66" s="249"/>
      <c r="T66" s="249"/>
      <c r="U66" s="249"/>
      <c r="V66" s="249"/>
      <c r="W66" s="249"/>
    </row>
    <row r="67" spans="1:23">
      <c r="A67" s="944" t="s">
        <v>1542</v>
      </c>
      <c r="B67" s="249"/>
      <c r="C67" s="249"/>
      <c r="D67" s="249"/>
      <c r="E67" s="258"/>
      <c r="H67" s="514"/>
      <c r="R67" s="249"/>
      <c r="S67" s="249"/>
      <c r="T67" s="249"/>
      <c r="U67" s="249"/>
      <c r="V67" s="249"/>
      <c r="W67" s="249"/>
    </row>
    <row r="68" spans="1:23">
      <c r="A68" s="944" t="s">
        <v>1543</v>
      </c>
      <c r="B68" s="291">
        <f>+'Hhold wood use for energy'!B14</f>
        <v>11240263.700297704</v>
      </c>
      <c r="C68" s="1046">
        <f>+'Hhold wood use for energy'!D14</f>
        <v>1491598.7776354605</v>
      </c>
      <c r="D68" s="1046">
        <f>+'Hhold wood use for energy'!F14</f>
        <v>4665042.5089241015</v>
      </c>
      <c r="E68" s="1047">
        <f>+'Hhold wood use for energy'!H14</f>
        <v>5083622.4137381418</v>
      </c>
      <c r="F68" s="101"/>
      <c r="R68" s="249"/>
      <c r="S68" s="249"/>
      <c r="T68" s="249"/>
      <c r="U68" s="249"/>
      <c r="V68" s="249"/>
      <c r="W68" s="249"/>
    </row>
    <row r="69" spans="1:23" ht="30">
      <c r="A69" s="944" t="s">
        <v>1541</v>
      </c>
      <c r="B69" s="291">
        <f>-'Hhold wood use for energy'!B33</f>
        <v>-3378142.3701946656</v>
      </c>
      <c r="C69" s="291">
        <f>-'Hhold wood use for energy'!D33</f>
        <v>-265098.31280902104</v>
      </c>
      <c r="D69" s="291">
        <f>-'Hhold wood use for energy'!F33</f>
        <v>-2088326.7616402975</v>
      </c>
      <c r="E69" s="292">
        <f>-'Hhold wood use for energy'!H33</f>
        <v>-1024717.2957453473</v>
      </c>
      <c r="F69" s="101"/>
      <c r="R69" s="249"/>
      <c r="S69" s="390"/>
      <c r="T69" s="390"/>
      <c r="U69" s="249"/>
      <c r="V69" s="249"/>
      <c r="W69" s="249"/>
    </row>
    <row r="70" spans="1:23">
      <c r="A70" s="944" t="s">
        <v>979</v>
      </c>
      <c r="B70" s="291">
        <f>+'Hhold wood use for energy'!B54</f>
        <v>2434217.5919938385</v>
      </c>
      <c r="C70" s="291">
        <f>+'Hhold wood use for energy'!D54</f>
        <v>121654.58285575249</v>
      </c>
      <c r="D70" s="291">
        <f>+'Hhold wood use for energy'!F54</f>
        <v>841698.87383201404</v>
      </c>
      <c r="E70" s="292">
        <f>+'Hhold wood use for energy'!H54</f>
        <v>1470864.1353060717</v>
      </c>
      <c r="F70" s="101"/>
      <c r="R70" s="249"/>
      <c r="S70" s="249"/>
      <c r="T70" s="249"/>
      <c r="U70" s="249"/>
      <c r="V70" s="249"/>
      <c r="W70" s="249"/>
    </row>
    <row r="71" spans="1:23" ht="27.95" customHeight="1">
      <c r="A71" s="944" t="s">
        <v>1508</v>
      </c>
      <c r="B71" s="291">
        <f>+'Institutional-Indus. wood use'!B13-B72</f>
        <v>1010168.6031683118</v>
      </c>
      <c r="C71" s="1181">
        <f>+$B71*'population parameters'!C$9</f>
        <v>130525.75459732255</v>
      </c>
      <c r="D71" s="1181">
        <f>+$B71*'population parameters'!D9</f>
        <v>427593.98854011617</v>
      </c>
      <c r="E71" s="1182">
        <f>+$B71*'population parameters'!E9</f>
        <v>452048.86003087304</v>
      </c>
      <c r="F71" s="1633" t="s">
        <v>1560</v>
      </c>
      <c r="G71" s="1634"/>
      <c r="R71" s="249"/>
      <c r="S71" s="249"/>
      <c r="T71" s="249"/>
      <c r="U71" s="249"/>
      <c r="V71" s="249"/>
      <c r="W71" s="249"/>
    </row>
    <row r="72" spans="1:23" ht="15.75" thickBot="1">
      <c r="A72" s="944" t="s">
        <v>1509</v>
      </c>
      <c r="B72" s="291">
        <f>+'Institutional-Indus. wood use'!B27</f>
        <v>1708073.5494139607</v>
      </c>
      <c r="C72" s="1181">
        <f>+$B72*'population parameters'!C$9</f>
        <v>220703.34421969493</v>
      </c>
      <c r="D72" s="1181">
        <f>+$B72*'population parameters'!D$9</f>
        <v>723009.98013902595</v>
      </c>
      <c r="E72" s="1182">
        <f>+$B72*'population parameters'!E$9</f>
        <v>764360.22505523986</v>
      </c>
      <c r="F72" s="1633"/>
      <c r="G72" s="1634"/>
      <c r="R72" s="249"/>
      <c r="S72" s="249"/>
      <c r="T72" s="249"/>
      <c r="U72" s="249"/>
      <c r="V72" s="249"/>
      <c r="W72" s="249"/>
    </row>
    <row r="73" spans="1:23" ht="15.75" thickBot="1">
      <c r="A73" s="1054" t="s">
        <v>986</v>
      </c>
      <c r="B73" s="1055">
        <f>+SUM(B66:B72)</f>
        <v>13014581.074679149</v>
      </c>
      <c r="C73" s="1055">
        <f>+SUM(C66:C72)</f>
        <v>1699384.1464992093</v>
      </c>
      <c r="D73" s="1055">
        <f>+SUM(D66:D72)</f>
        <v>4569018.5897949599</v>
      </c>
      <c r="E73" s="1056">
        <f>+SUM(E66:E72)</f>
        <v>6746178.3383849794</v>
      </c>
    </row>
    <row r="74" spans="1:23">
      <c r="A74" s="1051" t="s">
        <v>1376</v>
      </c>
      <c r="B74" s="1052">
        <f>+C51</f>
        <v>7132200</v>
      </c>
      <c r="C74" s="1052">
        <f>+C54</f>
        <v>3657200</v>
      </c>
      <c r="D74" s="1052">
        <f>+C57</f>
        <v>2130599.9999999995</v>
      </c>
      <c r="E74" s="1053">
        <f>+C60</f>
        <v>1344399.9999999998</v>
      </c>
    </row>
    <row r="75" spans="1:23" ht="15.75" thickBot="1">
      <c r="A75" s="1048" t="s">
        <v>1047</v>
      </c>
      <c r="B75" s="1049">
        <f>+B74-B73</f>
        <v>-5882381.0746791493</v>
      </c>
      <c r="C75" s="1049">
        <f>+C74-C73</f>
        <v>1957815.8535007907</v>
      </c>
      <c r="D75" s="1049">
        <f>+D74-D73</f>
        <v>-2438418.5897949603</v>
      </c>
      <c r="E75" s="1050">
        <f>+E74-E73</f>
        <v>-5401778.3383849794</v>
      </c>
    </row>
    <row r="76" spans="1:23">
      <c r="A76" s="481"/>
      <c r="B76" s="1199"/>
      <c r="C76" s="1199"/>
      <c r="D76" s="1199"/>
      <c r="E76" s="1199"/>
    </row>
    <row r="77" spans="1:23" ht="30">
      <c r="A77" s="481" t="s">
        <v>1676</v>
      </c>
      <c r="C77" s="1199"/>
      <c r="D77" s="1199"/>
      <c r="E77" s="1199"/>
    </row>
    <row r="78" spans="1:23">
      <c r="A78" s="1325" t="s">
        <v>1677</v>
      </c>
      <c r="B78" s="1324">
        <f>+'DoF Plantation production'!D33</f>
        <v>65242.076311688317</v>
      </c>
      <c r="C78" s="1199"/>
      <c r="D78" s="1199"/>
      <c r="E78" s="1199"/>
    </row>
    <row r="79" spans="1:23">
      <c r="A79" s="1325" t="s">
        <v>1678</v>
      </c>
      <c r="B79" s="1324">
        <f>+'DoF Plantation production'!D34</f>
        <v>166309.81234545456</v>
      </c>
      <c r="C79" s="1199"/>
      <c r="D79" s="1199"/>
      <c r="E79" s="1199"/>
    </row>
    <row r="80" spans="1:23">
      <c r="A80" s="481" t="s">
        <v>1675</v>
      </c>
      <c r="B80" s="1199">
        <f>+'DoF Plantation production'!D31</f>
        <v>231551.88865714282</v>
      </c>
      <c r="C80" s="1199"/>
      <c r="D80" s="1199"/>
      <c r="E80" s="1199"/>
    </row>
    <row r="81" spans="1:26" ht="30">
      <c r="A81" s="481" t="s">
        <v>1619</v>
      </c>
      <c r="B81" s="1199">
        <f>+E52</f>
        <v>672000</v>
      </c>
      <c r="C81" s="1199">
        <f>+E55</f>
        <v>497599.99999999994</v>
      </c>
      <c r="D81" s="1199">
        <f>+E58</f>
        <v>104800</v>
      </c>
      <c r="E81" s="1199">
        <f>+E61</f>
        <v>118399.99999999999</v>
      </c>
    </row>
    <row r="83" spans="1:26" ht="15.75" thickBot="1">
      <c r="B83" s="101"/>
      <c r="X83" s="130"/>
      <c r="Y83" s="441"/>
      <c r="Z83" s="428"/>
    </row>
    <row r="84" spans="1:26">
      <c r="A84" s="1505" t="s">
        <v>1557</v>
      </c>
      <c r="B84" s="101"/>
      <c r="D84" s="1571"/>
      <c r="E84" s="1572"/>
      <c r="F84" s="1572"/>
      <c r="G84" s="1573"/>
      <c r="H84" s="1574" t="s">
        <v>1858</v>
      </c>
      <c r="I84" s="1574"/>
      <c r="J84" s="1574"/>
      <c r="K84" s="1574"/>
      <c r="L84" s="1575"/>
      <c r="X84" s="130"/>
      <c r="Y84" s="441"/>
      <c r="Z84" s="428"/>
    </row>
    <row r="85" spans="1:26" ht="30">
      <c r="A85" s="1504" t="s">
        <v>1632</v>
      </c>
      <c r="B85" s="101">
        <f>+'Hhold wood use for energy'!C6</f>
        <v>67661063301.534615</v>
      </c>
      <c r="D85" s="1576" t="s">
        <v>1859</v>
      </c>
      <c r="E85" s="369"/>
      <c r="F85" s="369"/>
      <c r="G85" s="369"/>
      <c r="H85" s="369" t="s">
        <v>1759</v>
      </c>
      <c r="I85" s="369"/>
      <c r="J85" s="369"/>
      <c r="K85" s="369"/>
      <c r="L85" s="370"/>
      <c r="X85" s="130"/>
      <c r="Y85" s="441"/>
      <c r="Z85" s="428"/>
    </row>
    <row r="86" spans="1:26" ht="45">
      <c r="A86" s="1504" t="s">
        <v>1633</v>
      </c>
      <c r="B86" s="101">
        <f>+'Hhold wood use for energy'!B30</f>
        <v>11240263.700297704</v>
      </c>
      <c r="D86" s="1577"/>
      <c r="E86" s="373"/>
      <c r="F86" s="369"/>
      <c r="G86" s="369"/>
      <c r="H86" s="1578" t="s">
        <v>1754</v>
      </c>
      <c r="I86" s="1578" t="s">
        <v>1755</v>
      </c>
      <c r="J86" s="1578" t="s">
        <v>1756</v>
      </c>
      <c r="K86" s="1578" t="s">
        <v>1757</v>
      </c>
      <c r="L86" s="1579" t="s">
        <v>1758</v>
      </c>
      <c r="X86" s="130"/>
      <c r="Y86" s="441"/>
      <c r="Z86" s="428"/>
    </row>
    <row r="87" spans="1:26" ht="30">
      <c r="A87" s="1504" t="s">
        <v>1753</v>
      </c>
      <c r="B87" s="101">
        <f>+B85/B86</f>
        <v>6019.5263301289433</v>
      </c>
      <c r="D87" s="1580"/>
      <c r="E87" s="373"/>
      <c r="F87" s="369"/>
      <c r="G87" s="369"/>
      <c r="H87" s="1581">
        <v>53000</v>
      </c>
      <c r="I87" s="1581">
        <v>2892</v>
      </c>
      <c r="J87" s="1581">
        <v>22063</v>
      </c>
      <c r="K87" s="1581">
        <v>5231</v>
      </c>
      <c r="L87" s="1582">
        <v>33274</v>
      </c>
      <c r="X87" s="130"/>
      <c r="Y87" s="441"/>
      <c r="Z87" s="428"/>
    </row>
    <row r="88" spans="1:26" ht="30">
      <c r="A88" s="1504" t="s">
        <v>1689</v>
      </c>
      <c r="B88" s="101">
        <v>2500</v>
      </c>
      <c r="D88" s="1580"/>
      <c r="E88" s="369"/>
      <c r="F88" s="369"/>
      <c r="G88" s="369"/>
      <c r="H88" s="369" t="s">
        <v>1760</v>
      </c>
      <c r="I88" s="369">
        <f>+I87/10</f>
        <v>289.2</v>
      </c>
      <c r="J88" s="369"/>
      <c r="K88" s="369"/>
      <c r="L88" s="1583">
        <f>+L87/H87</f>
        <v>0.62781132075471702</v>
      </c>
      <c r="X88" s="130"/>
      <c r="Y88" s="441"/>
      <c r="Z88" s="428"/>
    </row>
    <row r="89" spans="1:26" ht="17.100000000000001" customHeight="1">
      <c r="A89" s="1504" t="s">
        <v>1690</v>
      </c>
      <c r="B89" s="101">
        <f>+(B87*(B68+B69)+B88*(B72+B71))/(B72+B71+B68+B69)</f>
        <v>5115.3111920256169</v>
      </c>
      <c r="D89" s="1580"/>
      <c r="E89" s="369"/>
      <c r="F89" s="369"/>
      <c r="G89" s="369"/>
      <c r="H89" s="1632" t="s">
        <v>1761</v>
      </c>
      <c r="I89" s="369"/>
      <c r="J89" s="369"/>
      <c r="K89" s="369"/>
      <c r="L89" s="370"/>
      <c r="X89" s="130"/>
      <c r="Y89" s="441"/>
      <c r="Z89" s="428"/>
    </row>
    <row r="90" spans="1:26" ht="27.95" customHeight="1">
      <c r="A90" s="1178" t="s">
        <v>1558</v>
      </c>
      <c r="B90" s="514">
        <f>+B89*B75</f>
        <v>-30090209747.065929</v>
      </c>
      <c r="D90" s="1580"/>
      <c r="E90" s="369"/>
      <c r="F90" s="369"/>
      <c r="G90" s="369"/>
      <c r="H90" s="1632"/>
      <c r="I90" s="1584">
        <f>+(K87-I87)/10</f>
        <v>233.9</v>
      </c>
      <c r="J90" s="369"/>
      <c r="K90" s="369"/>
      <c r="L90" s="370"/>
      <c r="X90" s="130"/>
      <c r="Y90" s="441"/>
      <c r="Z90" s="428"/>
    </row>
    <row r="91" spans="1:26" ht="45.95" customHeight="1">
      <c r="B91" s="101"/>
      <c r="D91" s="1580"/>
      <c r="E91" s="369"/>
      <c r="F91" s="369"/>
      <c r="G91" s="369"/>
      <c r="H91" s="1584" t="s">
        <v>1762</v>
      </c>
      <c r="I91" s="1581">
        <f>+I88*15</f>
        <v>4338</v>
      </c>
      <c r="J91" s="369"/>
      <c r="K91" s="369"/>
      <c r="L91" s="370"/>
      <c r="X91" s="130"/>
      <c r="Y91" s="441"/>
      <c r="Z91" s="428"/>
    </row>
    <row r="92" spans="1:26" ht="36" customHeight="1">
      <c r="B92" s="101"/>
      <c r="D92" s="1580"/>
      <c r="E92" s="369"/>
      <c r="F92" s="369"/>
      <c r="G92" s="369"/>
      <c r="H92" s="369" t="s">
        <v>1765</v>
      </c>
      <c r="I92" s="369"/>
      <c r="J92" s="369"/>
      <c r="K92" s="369"/>
      <c r="L92" s="370"/>
      <c r="X92" s="130"/>
      <c r="Y92" s="441"/>
      <c r="Z92" s="428"/>
    </row>
    <row r="93" spans="1:26">
      <c r="B93" s="101"/>
      <c r="D93" s="1580"/>
      <c r="E93" s="369"/>
      <c r="F93" s="369"/>
      <c r="G93" s="369"/>
      <c r="H93" s="369" t="s">
        <v>1763</v>
      </c>
      <c r="I93" s="1585">
        <f>+H87</f>
        <v>53000</v>
      </c>
      <c r="J93" s="369"/>
      <c r="K93" s="369"/>
      <c r="L93" s="370"/>
      <c r="X93" s="130"/>
      <c r="Y93" s="441"/>
      <c r="Z93" s="428"/>
    </row>
    <row r="94" spans="1:26">
      <c r="B94" s="101"/>
      <c r="D94" s="1580"/>
      <c r="E94" s="369"/>
      <c r="F94" s="369"/>
      <c r="G94" s="369"/>
      <c r="H94" s="369" t="s">
        <v>1764</v>
      </c>
      <c r="I94" s="1585">
        <f>+I87</f>
        <v>2892</v>
      </c>
      <c r="J94" s="369"/>
      <c r="K94" s="369"/>
      <c r="L94" s="370"/>
      <c r="X94" s="130"/>
      <c r="Y94" s="441"/>
      <c r="Z94" s="428"/>
    </row>
    <row r="95" spans="1:26">
      <c r="B95" s="101"/>
      <c r="D95" s="1580"/>
      <c r="E95" s="369"/>
      <c r="F95" s="369"/>
      <c r="G95" s="369"/>
      <c r="H95" s="369" t="s">
        <v>1766</v>
      </c>
      <c r="I95" s="1585">
        <f>+J87</f>
        <v>22063</v>
      </c>
      <c r="J95" s="369"/>
      <c r="K95" s="369"/>
      <c r="L95" s="370"/>
      <c r="X95" s="130"/>
      <c r="Y95" s="441"/>
      <c r="Z95" s="428"/>
    </row>
    <row r="96" spans="1:26" ht="12.95" customHeight="1">
      <c r="B96" s="101"/>
      <c r="D96" s="1580"/>
      <c r="E96" s="369"/>
      <c r="F96" s="369"/>
      <c r="G96" s="369"/>
      <c r="H96" s="369" t="s">
        <v>1767</v>
      </c>
      <c r="I96" s="1585">
        <f>+K87</f>
        <v>5231</v>
      </c>
      <c r="J96" s="369"/>
      <c r="K96" s="369"/>
      <c r="L96" s="370"/>
      <c r="X96" s="130"/>
      <c r="Y96" s="441"/>
      <c r="Z96" s="428"/>
    </row>
    <row r="97" spans="2:26" ht="14.1" customHeight="1" thickBot="1">
      <c r="B97" s="101"/>
      <c r="D97" s="1586"/>
      <c r="E97" s="730"/>
      <c r="F97" s="730"/>
      <c r="G97" s="730"/>
      <c r="H97" s="730" t="s">
        <v>1768</v>
      </c>
      <c r="I97" s="1587">
        <f>+I93-I94-I95+I96</f>
        <v>33276</v>
      </c>
      <c r="J97" s="730"/>
      <c r="K97" s="730"/>
      <c r="L97" s="731"/>
      <c r="X97" s="130"/>
      <c r="Y97" s="441"/>
      <c r="Z97" s="428"/>
    </row>
    <row r="98" spans="2:26">
      <c r="B98" s="101"/>
      <c r="D98" s="250"/>
      <c r="E98" s="250"/>
      <c r="F98" s="250"/>
      <c r="G98" s="250"/>
      <c r="H98" s="250"/>
      <c r="I98" s="250"/>
      <c r="J98" s="250"/>
      <c r="K98" s="250"/>
      <c r="L98" s="250"/>
      <c r="X98" s="130"/>
      <c r="Y98" s="441"/>
      <c r="Z98" s="428"/>
    </row>
    <row r="99" spans="2:26">
      <c r="B99" s="101"/>
      <c r="X99" s="130"/>
      <c r="Y99" s="441"/>
      <c r="Z99" s="428"/>
    </row>
    <row r="100" spans="2:26">
      <c r="B100" s="101"/>
      <c r="X100" s="130"/>
      <c r="Y100" s="441"/>
      <c r="Z100" s="428"/>
    </row>
    <row r="101" spans="2:26">
      <c r="B101" s="101"/>
      <c r="X101" s="130"/>
      <c r="Y101" s="441"/>
      <c r="Z101" s="428"/>
    </row>
    <row r="102" spans="2:26">
      <c r="B102" s="101"/>
      <c r="X102" s="130"/>
      <c r="Y102" s="441"/>
      <c r="Z102" s="428"/>
    </row>
    <row r="103" spans="2:26">
      <c r="X103" s="130"/>
      <c r="Y103" s="441"/>
      <c r="Z103" s="428"/>
    </row>
    <row r="104" spans="2:26">
      <c r="X104" s="130"/>
      <c r="Y104" s="441"/>
      <c r="Z104" s="428"/>
    </row>
    <row r="105" spans="2:26">
      <c r="X105" s="130"/>
      <c r="Y105" s="441"/>
      <c r="Z105" s="428"/>
    </row>
    <row r="106" spans="2:26">
      <c r="X106" s="130"/>
      <c r="Y106" s="441"/>
      <c r="Z106" s="428"/>
    </row>
    <row r="107" spans="2:26">
      <c r="X107" s="130"/>
      <c r="Y107" s="441"/>
      <c r="Z107" s="428"/>
    </row>
    <row r="108" spans="2:26">
      <c r="X108" s="130"/>
      <c r="Y108" s="130"/>
      <c r="Z108" s="428"/>
    </row>
    <row r="109" spans="2:26">
      <c r="X109" s="130"/>
      <c r="Y109" s="130"/>
      <c r="Z109" s="428"/>
    </row>
    <row r="110" spans="2:26">
      <c r="X110" s="130"/>
      <c r="Y110" s="130"/>
      <c r="Z110" s="428"/>
    </row>
    <row r="111" spans="2:26">
      <c r="X111" s="130"/>
      <c r="Y111" s="130"/>
      <c r="Z111" s="130"/>
    </row>
    <row r="112" spans="2:26">
      <c r="X112" s="130"/>
      <c r="Y112" s="130"/>
      <c r="Z112" s="130"/>
    </row>
    <row r="113" spans="24:26">
      <c r="X113" s="130"/>
      <c r="Y113" s="130"/>
      <c r="Z113" s="130"/>
    </row>
    <row r="114" spans="24:26">
      <c r="X114" s="130"/>
      <c r="Y114" s="130"/>
      <c r="Z114" s="130"/>
    </row>
  </sheetData>
  <mergeCells count="11">
    <mergeCell ref="S16:Y16"/>
    <mergeCell ref="A23:I23"/>
    <mergeCell ref="T19:U19"/>
    <mergeCell ref="V19:W19"/>
    <mergeCell ref="D29:F31"/>
    <mergeCell ref="H89:H90"/>
    <mergeCell ref="F71:G72"/>
    <mergeCell ref="D28:H28"/>
    <mergeCell ref="D48:E48"/>
    <mergeCell ref="B48:C48"/>
    <mergeCell ref="F39:G42"/>
  </mergeCells>
  <pageMargins left="0.75" right="0.75" top="1" bottom="1" header="0.5" footer="0.5"/>
  <pageSetup orientation="landscape" horizontalDpi="4294967292" verticalDpi="4294967292" r:id="rId1"/>
  <ignoredErrors>
    <ignoredError sqref="B73:E73" emptyCellReference="1"/>
  </ignoredErrors>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J69"/>
  <sheetViews>
    <sheetView workbookViewId="0"/>
  </sheetViews>
  <sheetFormatPr defaultColWidth="11.42578125" defaultRowHeight="12.75"/>
  <cols>
    <col min="1" max="1" width="19.42578125" style="594" customWidth="1"/>
    <col min="2" max="2" width="22.85546875" style="594" customWidth="1"/>
    <col min="3" max="3" width="19.28515625" style="594" customWidth="1"/>
    <col min="4" max="4" width="15.28515625" style="594" customWidth="1"/>
    <col min="5" max="5" width="11.42578125" style="594"/>
    <col min="6" max="6" width="14.42578125" style="594" customWidth="1"/>
    <col min="7" max="7" width="13.42578125" style="594" bestFit="1" customWidth="1"/>
    <col min="8" max="8" width="16.28515625" style="594" customWidth="1"/>
    <col min="9" max="16384" width="11.42578125" style="594"/>
  </cols>
  <sheetData>
    <row r="1" spans="1:10" ht="24.75">
      <c r="A1" s="1262" t="s">
        <v>1225</v>
      </c>
      <c r="B1" s="1279"/>
      <c r="C1" s="1279"/>
      <c r="D1" s="1612"/>
    </row>
    <row r="3" spans="1:10" ht="16.5" thickBot="1">
      <c r="A3" s="1289" t="s">
        <v>1226</v>
      </c>
      <c r="B3" s="1290"/>
      <c r="C3" s="1290"/>
      <c r="D3" s="1290"/>
    </row>
    <row r="4" spans="1:10" ht="51.75" thickBot="1">
      <c r="A4" s="1291"/>
      <c r="B4" s="1292" t="s">
        <v>1227</v>
      </c>
      <c r="C4" s="1292" t="s">
        <v>1228</v>
      </c>
      <c r="D4" s="1293" t="s">
        <v>1229</v>
      </c>
      <c r="E4" s="117" t="s">
        <v>1697</v>
      </c>
      <c r="F4" s="1588" t="s">
        <v>1699</v>
      </c>
      <c r="G4" s="117" t="s">
        <v>1860</v>
      </c>
    </row>
    <row r="5" spans="1:10" ht="15" customHeight="1" thickBot="1">
      <c r="A5" s="1659" t="s">
        <v>1234</v>
      </c>
      <c r="B5" s="1660"/>
      <c r="C5" s="1660"/>
      <c r="D5" s="1661"/>
    </row>
    <row r="6" spans="1:10">
      <c r="A6" s="1431" t="s">
        <v>1230</v>
      </c>
      <c r="B6" s="1454"/>
      <c r="C6" s="1455">
        <f>+C22+C23</f>
        <v>2913.5440214928935</v>
      </c>
      <c r="D6" s="1456">
        <f>+D22+D23</f>
        <v>398447000</v>
      </c>
      <c r="E6" s="1469">
        <f>+D6/C6</f>
        <v>136756.81474544416</v>
      </c>
      <c r="F6" s="1177">
        <f t="shared" ref="F6:F8" si="0">+D6/C6</f>
        <v>136756.81474544416</v>
      </c>
      <c r="G6" s="1503">
        <f>+F6/xr_2010</f>
        <v>909.34995163780775</v>
      </c>
    </row>
    <row r="7" spans="1:10">
      <c r="A7" s="1431" t="s">
        <v>1231</v>
      </c>
      <c r="B7" s="1457">
        <f>+D40</f>
        <v>92463.624879837036</v>
      </c>
      <c r="C7" s="1297">
        <f>+E40+G40</f>
        <v>24897.822202468993</v>
      </c>
      <c r="D7" s="1298">
        <f>+F40+H40</f>
        <v>9035751901.6978817</v>
      </c>
      <c r="E7" s="1469">
        <f t="shared" ref="E7:E9" si="1">+D7/C7</f>
        <v>362913.34351330739</v>
      </c>
      <c r="F7" s="1177">
        <f t="shared" si="0"/>
        <v>362913.34351330739</v>
      </c>
      <c r="G7" s="1503">
        <f>+F7/xr_2010</f>
        <v>2413.153830665211</v>
      </c>
      <c r="J7" s="1177"/>
    </row>
    <row r="8" spans="1:10" ht="13.5" thickBot="1">
      <c r="A8" s="1431" t="s">
        <v>1233</v>
      </c>
      <c r="B8" s="1457"/>
      <c r="C8" s="1297">
        <f>+C68</f>
        <v>5207</v>
      </c>
      <c r="D8" s="1298">
        <f>+D68</f>
        <v>1034701116</v>
      </c>
      <c r="E8" s="1469">
        <f t="shared" si="1"/>
        <v>198713.48492414059</v>
      </c>
      <c r="F8" s="1177">
        <f t="shared" si="0"/>
        <v>198713.48492414059</v>
      </c>
      <c r="G8" s="1503">
        <f>+F8/xr_2010</f>
        <v>1321.3242663036449</v>
      </c>
    </row>
    <row r="9" spans="1:10" ht="13.5" thickBot="1">
      <c r="A9" s="1458" t="s">
        <v>1694</v>
      </c>
      <c r="B9" s="1459"/>
      <c r="C9" s="1460">
        <f>+SUM(C6:C8)</f>
        <v>33018.366223961886</v>
      </c>
      <c r="D9" s="1461">
        <f>+SUM(D6:D8)</f>
        <v>10468900017.697882</v>
      </c>
      <c r="E9" s="1469">
        <f t="shared" si="1"/>
        <v>317062.93239004829</v>
      </c>
      <c r="F9" s="1177">
        <f>+D9/C9</f>
        <v>317062.93239004829</v>
      </c>
      <c r="G9" s="1503">
        <f>+F9/xr_2010</f>
        <v>2108.2763792920009</v>
      </c>
    </row>
    <row r="10" spans="1:10" ht="13.5" thickBot="1">
      <c r="A10" s="1662" t="s">
        <v>1235</v>
      </c>
      <c r="B10" s="1663"/>
      <c r="C10" s="1663"/>
      <c r="D10" s="1664"/>
      <c r="F10" s="1176"/>
    </row>
    <row r="11" spans="1:10">
      <c r="A11" s="1450" t="s">
        <v>877</v>
      </c>
      <c r="B11" s="1462">
        <f>+'Hhold wood use for energy'!T57</f>
        <v>2831916.0819654465</v>
      </c>
      <c r="C11" s="1451"/>
      <c r="D11" s="1452">
        <f>+'Hhold wood use for energy'!C28</f>
        <v>63375929592.79026</v>
      </c>
      <c r="E11" s="1469">
        <f>+D11/B11</f>
        <v>22379.16935335358</v>
      </c>
      <c r="F11" s="1177"/>
      <c r="G11" s="1503">
        <f>+E11/xr_2010</f>
        <v>148.80791576673025</v>
      </c>
      <c r="H11" s="596">
        <f>+xr_2010</f>
        <v>150.38964317217463</v>
      </c>
      <c r="I11" s="1176" t="s">
        <v>1862</v>
      </c>
    </row>
    <row r="12" spans="1:10">
      <c r="A12" s="1432" t="s">
        <v>1695</v>
      </c>
      <c r="B12" s="1463">
        <f>+'Other gathered products'!B8</f>
        <v>26747.929359436035</v>
      </c>
      <c r="C12" s="1294"/>
      <c r="D12" s="1295">
        <f>+'Other gathered products'!D10</f>
        <v>16370578.786239624</v>
      </c>
      <c r="E12" s="1469">
        <f t="shared" ref="E12:E13" si="2">+D12/B12</f>
        <v>612.03162929935252</v>
      </c>
      <c r="F12" s="1176" t="s">
        <v>1700</v>
      </c>
      <c r="G12" s="1589">
        <v>330</v>
      </c>
      <c r="H12" s="1469">
        <f>+G12*H11</f>
        <v>49628.582246817627</v>
      </c>
      <c r="I12" s="1176" t="s">
        <v>1861</v>
      </c>
    </row>
    <row r="13" spans="1:10" ht="13.5" thickBot="1">
      <c r="A13" s="1453" t="s">
        <v>1696</v>
      </c>
      <c r="B13" s="1464">
        <f>+'Other gathered products'!B12</f>
        <v>45934.648941040039</v>
      </c>
      <c r="C13" s="1299"/>
      <c r="D13" s="1296">
        <f>+'Other gathered products'!D14</f>
        <v>37814953.925018303</v>
      </c>
      <c r="E13" s="1469">
        <f t="shared" si="2"/>
        <v>823.23376354864786</v>
      </c>
      <c r="H13" s="1177">
        <f>+E11/H12</f>
        <v>0.45093307808100075</v>
      </c>
      <c r="I13" s="1176" t="s">
        <v>1863</v>
      </c>
    </row>
    <row r="14" spans="1:10" ht="13.5" thickBot="1">
      <c r="A14" s="1446" t="s">
        <v>33</v>
      </c>
      <c r="B14" s="1447" t="s">
        <v>1</v>
      </c>
      <c r="C14" s="1448"/>
      <c r="D14" s="1449">
        <f>+D12+D11</f>
        <v>63392300171.5765</v>
      </c>
    </row>
    <row r="15" spans="1:10" ht="26.25" customHeight="1" thickBot="1">
      <c r="A15" s="1656" t="s">
        <v>1237</v>
      </c>
      <c r="B15" s="1657"/>
      <c r="C15" s="1657"/>
      <c r="D15" s="1658"/>
    </row>
    <row r="19" spans="1:8" ht="18.75" thickBot="1">
      <c r="A19" s="105" t="s">
        <v>1650</v>
      </c>
    </row>
    <row r="20" spans="1:8" ht="26.25" thickBot="1">
      <c r="A20" s="603"/>
      <c r="B20" s="604"/>
      <c r="C20" s="634" t="s">
        <v>841</v>
      </c>
      <c r="D20" s="635" t="s">
        <v>842</v>
      </c>
    </row>
    <row r="21" spans="1:8" ht="13.5" thickBot="1">
      <c r="A21" s="605" t="s">
        <v>845</v>
      </c>
      <c r="B21" s="604"/>
      <c r="C21" s="604"/>
      <c r="D21" s="606"/>
    </row>
    <row r="22" spans="1:8">
      <c r="A22" s="607" t="s">
        <v>837</v>
      </c>
      <c r="B22" s="608" t="s">
        <v>838</v>
      </c>
      <c r="C22" s="609">
        <f>+'Annual economic survey'!C67</f>
        <v>2496</v>
      </c>
      <c r="D22" s="610">
        <f>+'Annual economic survey'!C65*1000</f>
        <v>235225000</v>
      </c>
    </row>
    <row r="23" spans="1:8" ht="13.5" thickBot="1">
      <c r="A23" s="611" t="s">
        <v>839</v>
      </c>
      <c r="B23" s="602" t="s">
        <v>840</v>
      </c>
      <c r="C23" s="612">
        <f>+'Annual economic survey'!E67</f>
        <v>417.54402149289342</v>
      </c>
      <c r="D23" s="613">
        <f>+'Annual economic survey'!E65*1000</f>
        <v>163222000</v>
      </c>
    </row>
    <row r="24" spans="1:8" ht="13.5" thickBot="1">
      <c r="A24" s="603" t="s">
        <v>846</v>
      </c>
      <c r="B24" s="604"/>
      <c r="C24" s="604"/>
      <c r="D24" s="606"/>
    </row>
    <row r="27" spans="1:8" ht="16.5" thickBot="1">
      <c r="A27" s="105" t="s">
        <v>1210</v>
      </c>
    </row>
    <row r="28" spans="1:8" ht="51.75" thickBot="1">
      <c r="A28" s="614" t="s">
        <v>862</v>
      </c>
      <c r="B28" s="640" t="s">
        <v>1166</v>
      </c>
      <c r="C28" s="615" t="s">
        <v>1167</v>
      </c>
      <c r="D28" s="634" t="s">
        <v>571</v>
      </c>
      <c r="E28" s="634" t="s">
        <v>1223</v>
      </c>
      <c r="F28" s="634" t="s">
        <v>1653</v>
      </c>
      <c r="G28" s="634" t="s">
        <v>1224</v>
      </c>
      <c r="H28" s="635" t="s">
        <v>1267</v>
      </c>
    </row>
    <row r="29" spans="1:8">
      <c r="A29" s="618" t="s">
        <v>1168</v>
      </c>
      <c r="B29" s="625">
        <f>+'Employment- hhold businesses'!A51</f>
        <v>11</v>
      </c>
      <c r="C29" s="617" t="s">
        <v>1177</v>
      </c>
      <c r="D29" s="629">
        <f>+'Employment- hhold businesses'!C35</f>
        <v>456.6868896484375</v>
      </c>
      <c r="E29" s="629">
        <f>+'Employment- hhold businesses'!G51</f>
        <v>140.51904296875</v>
      </c>
      <c r="F29" s="629">
        <f>+'Employment- hhold businesses'!H104</f>
        <v>3775083.4346874999</v>
      </c>
      <c r="G29" s="629"/>
      <c r="H29" s="630"/>
    </row>
    <row r="30" spans="1:8">
      <c r="A30" s="618" t="s">
        <v>1169</v>
      </c>
      <c r="B30" s="625">
        <f>+'Employment- hhold businesses'!A52</f>
        <v>12</v>
      </c>
      <c r="C30" s="617" t="s">
        <v>972</v>
      </c>
      <c r="D30" s="629">
        <f>+'Employment- hhold businesses'!C36</f>
        <v>2502.7323989868164</v>
      </c>
      <c r="E30" s="629">
        <f>+'Employment- hhold businesses'!G52</f>
        <v>416.66260497873003</v>
      </c>
      <c r="F30" s="629">
        <f>+'Employment- hhold businesses'!H105</f>
        <v>36890120.432313956</v>
      </c>
      <c r="G30" s="629"/>
      <c r="H30" s="630"/>
    </row>
    <row r="31" spans="1:8">
      <c r="A31" s="618" t="s">
        <v>1170</v>
      </c>
      <c r="B31" s="625">
        <f>+'Employment- hhold businesses'!A53</f>
        <v>29</v>
      </c>
      <c r="C31" s="616" t="s">
        <v>1178</v>
      </c>
      <c r="D31" s="629">
        <f>+'Employment- hhold businesses'!C37</f>
        <v>965.25770568847656</v>
      </c>
      <c r="E31" s="629">
        <f>+'Employment- hhold businesses'!G53</f>
        <v>201.34102337176989</v>
      </c>
      <c r="F31" s="629">
        <f>+'Employment- hhold businesses'!H106</f>
        <v>122110752.33104002</v>
      </c>
      <c r="G31" s="629"/>
      <c r="H31" s="630"/>
    </row>
    <row r="32" spans="1:8" ht="25.5">
      <c r="A32" s="618" t="s">
        <v>1191</v>
      </c>
      <c r="B32" s="625">
        <f>+'Employment- hhold businesses'!A54</f>
        <v>31</v>
      </c>
      <c r="C32" s="616" t="s">
        <v>1179</v>
      </c>
      <c r="D32" s="629">
        <f>+'Employment- hhold businesses'!C38</f>
        <v>59.690301895141602</v>
      </c>
      <c r="E32" s="629">
        <f>+'Employment- hhold businesses'!G54</f>
        <v>5.5378165095322593</v>
      </c>
      <c r="F32" s="629">
        <f>+'Employment- hhold businesses'!H107</f>
        <v>369063.24811543769</v>
      </c>
      <c r="G32" s="629"/>
      <c r="H32" s="630"/>
    </row>
    <row r="33" spans="1:10" ht="38.25">
      <c r="A33" s="618" t="s">
        <v>1171</v>
      </c>
      <c r="B33" s="625">
        <f>+'Employment- hhold businesses'!A55</f>
        <v>32</v>
      </c>
      <c r="C33" s="619" t="s">
        <v>1182</v>
      </c>
      <c r="D33" s="629">
        <f>+'Employment- hhold businesses'!C39</f>
        <v>3428.3185119628906</v>
      </c>
      <c r="E33" s="629">
        <f>+'Employment- hhold businesses'!G55</f>
        <v>590.92399157960097</v>
      </c>
      <c r="F33" s="629">
        <f>+'Employment- hhold businesses'!H108</f>
        <v>162601485.87225938</v>
      </c>
      <c r="G33" s="629">
        <f>+'Employment- hhold businesses'!G84</f>
        <v>20.140432694758083</v>
      </c>
      <c r="H33" s="630">
        <f>+'Employment- hhold businesses'!F94</f>
        <v>7708146.4009378143</v>
      </c>
    </row>
    <row r="34" spans="1:10" ht="38.25">
      <c r="A34" s="618" t="s">
        <v>1181</v>
      </c>
      <c r="B34" s="625">
        <f>+'Employment- hhold businesses'!A56</f>
        <v>33</v>
      </c>
      <c r="C34" s="617" t="s">
        <v>1189</v>
      </c>
      <c r="D34" s="629">
        <f>+'Employment- hhold businesses'!C40</f>
        <v>25671.995727539063</v>
      </c>
      <c r="E34" s="629">
        <f>+'Employment- hhold businesses'!G56</f>
        <v>7744.364343002193</v>
      </c>
      <c r="F34" s="629">
        <f>+'Employment- hhold businesses'!H109</f>
        <v>1582938794.1279426</v>
      </c>
      <c r="G34" s="629">
        <f>+'Employment- hhold businesses'!G85</f>
        <v>431.31279950088572</v>
      </c>
      <c r="H34" s="630">
        <f>+'Employment- hhold businesses'!F95</f>
        <v>419213239.71980417</v>
      </c>
    </row>
    <row r="35" spans="1:10" ht="25.5">
      <c r="A35" s="618" t="s">
        <v>1172</v>
      </c>
      <c r="B35" s="625">
        <f>+'Employment- hhold businesses'!A57</f>
        <v>36</v>
      </c>
      <c r="C35" s="617" t="s">
        <v>1183</v>
      </c>
      <c r="D35" s="629">
        <f>+'Employment- hhold businesses'!C41</f>
        <v>445.01730346679687</v>
      </c>
      <c r="E35" s="629">
        <f>+'Employment- hhold businesses'!G57</f>
        <v>198.47639342268178</v>
      </c>
      <c r="F35" s="629">
        <f>+'Employment- hhold businesses'!H110</f>
        <v>17640911.837748136</v>
      </c>
      <c r="G35" s="629">
        <f>+'Employment- hhold businesses'!G86</f>
        <v>9.966838479336964</v>
      </c>
      <c r="H35" s="630">
        <f>+'Employment- hhold businesses'!F96</f>
        <v>9000641.2317745611</v>
      </c>
    </row>
    <row r="36" spans="1:10" ht="51">
      <c r="A36" s="618" t="s">
        <v>1173</v>
      </c>
      <c r="B36" s="625">
        <f>+'Employment- hhold businesses'!A58</f>
        <v>38</v>
      </c>
      <c r="C36" s="619" t="s">
        <v>1184</v>
      </c>
      <c r="D36" s="629">
        <f>+'Employment- hhold businesses'!C42</f>
        <v>159.74349975585937</v>
      </c>
      <c r="E36" s="629">
        <f>+'Employment- hhold businesses'!G58</f>
        <v>3.6863884559044475</v>
      </c>
      <c r="F36" s="629">
        <f>+'Employment- hhold businesses'!H111</f>
        <v>4332818.7899780273</v>
      </c>
      <c r="G36" s="602"/>
      <c r="H36" s="626"/>
    </row>
    <row r="37" spans="1:10">
      <c r="A37" s="618" t="s">
        <v>1174</v>
      </c>
      <c r="B37" s="625">
        <f>+'Employment- hhold businesses'!A59</f>
        <v>62</v>
      </c>
      <c r="C37" s="617" t="s">
        <v>1185</v>
      </c>
      <c r="D37" s="629">
        <f>+'Employment- hhold businesses'!C43</f>
        <v>54073.481708526611</v>
      </c>
      <c r="E37" s="629">
        <f>+'Employment- hhold businesses'!G59</f>
        <v>13607.131283738556</v>
      </c>
      <c r="F37" s="629">
        <f>+'Employment- hhold businesses'!H112</f>
        <v>4999715122.6455002</v>
      </c>
      <c r="G37" s="629">
        <f>+'Employment- hhold businesses'!G88</f>
        <v>564.3776583216702</v>
      </c>
      <c r="H37" s="720">
        <f>+'Employment- hhold businesses'!F98</f>
        <v>1474274176.3854952</v>
      </c>
      <c r="I37" s="719" t="s">
        <v>1649</v>
      </c>
      <c r="J37" s="719"/>
    </row>
    <row r="38" spans="1:10">
      <c r="A38" s="618" t="s">
        <v>1175</v>
      </c>
      <c r="B38" s="625">
        <f>+'Employment- hhold businesses'!A60</f>
        <v>63</v>
      </c>
      <c r="C38" s="616" t="s">
        <v>1186</v>
      </c>
      <c r="D38" s="629">
        <f>+'Employment- hhold businesses'!C44</f>
        <v>52.475101470947266</v>
      </c>
      <c r="E38" s="629">
        <f>+'Employment- hhold businesses'!G60</f>
        <v>6.3575603705186108</v>
      </c>
      <c r="F38" s="629">
        <f>+'Employment- hhold businesses'!H113</f>
        <v>118609.47185478211</v>
      </c>
      <c r="G38" s="629"/>
      <c r="H38" s="630"/>
    </row>
    <row r="39" spans="1:10" ht="39" thickBot="1">
      <c r="A39" s="618" t="s">
        <v>1176</v>
      </c>
      <c r="B39" s="627">
        <f>+'Employment- hhold businesses'!A61</f>
        <v>93</v>
      </c>
      <c r="C39" s="628" t="s">
        <v>1187</v>
      </c>
      <c r="D39" s="631">
        <f>+'Employment- hhold businesses'!C45</f>
        <v>4648.2257308959961</v>
      </c>
      <c r="E39" s="631">
        <f>+'Employment- hhold businesses'!G61</f>
        <v>957.02402507410818</v>
      </c>
      <c r="F39" s="629">
        <f>+'Employment- hhold businesses'!H114</f>
        <v>195062935.76842913</v>
      </c>
      <c r="G39" s="631"/>
      <c r="H39" s="632"/>
    </row>
    <row r="40" spans="1:10" ht="13.5" thickBot="1">
      <c r="A40" s="614" t="s">
        <v>33</v>
      </c>
      <c r="B40" s="603"/>
      <c r="C40" s="604"/>
      <c r="D40" s="633">
        <f>+SUM(D29:D39)</f>
        <v>92463.624879837036</v>
      </c>
      <c r="E40" s="633">
        <f>+SUM(E29:E39)</f>
        <v>23872.024473472342</v>
      </c>
      <c r="F40" s="633">
        <f>+SUM(F29:F39)</f>
        <v>7125555697.9598694</v>
      </c>
      <c r="G40" s="633">
        <f>+SUM(G29:G39)</f>
        <v>1025.7977289966509</v>
      </c>
      <c r="H40" s="636">
        <f>+SUM(H29:H39)</f>
        <v>1910196203.7380118</v>
      </c>
    </row>
    <row r="44" spans="1:10">
      <c r="F44" s="593" t="s">
        <v>1270</v>
      </c>
    </row>
    <row r="45" spans="1:10">
      <c r="A45" s="593" t="s">
        <v>1651</v>
      </c>
      <c r="C45" s="722" t="s">
        <v>1269</v>
      </c>
      <c r="D45" s="722" t="s">
        <v>1268</v>
      </c>
      <c r="F45" s="722" t="s">
        <v>1271</v>
      </c>
      <c r="G45" s="722" t="s">
        <v>1268</v>
      </c>
    </row>
    <row r="46" spans="1:10">
      <c r="A46" s="594" t="s">
        <v>877</v>
      </c>
      <c r="B46" s="594" t="s">
        <v>878</v>
      </c>
      <c r="C46" s="620">
        <f>+'Employment-Openshaw study'!C6</f>
        <v>5375</v>
      </c>
      <c r="D46" s="620">
        <f>+'Employment-Openshaw study'!E6</f>
        <v>386280000</v>
      </c>
      <c r="F46" s="641">
        <f>+E29+E30</f>
        <v>557.18164794748009</v>
      </c>
      <c r="G46" s="641">
        <f>+F29+F30</f>
        <v>40665203.867001459</v>
      </c>
    </row>
    <row r="47" spans="1:10">
      <c r="B47" s="594" t="s">
        <v>879</v>
      </c>
      <c r="C47" s="620">
        <f>+'Employment-Openshaw study'!C10</f>
        <v>63148</v>
      </c>
      <c r="D47" s="620">
        <f>+'Employment-Openshaw study'!E10</f>
        <v>4548040000</v>
      </c>
      <c r="F47" s="641">
        <f>+E34+E37+G34+G37</f>
        <v>22347.186084563305</v>
      </c>
      <c r="G47" s="641">
        <f>+F34+F37</f>
        <v>6582653916.7734432</v>
      </c>
    </row>
    <row r="48" spans="1:10">
      <c r="A48" s="594" t="s">
        <v>583</v>
      </c>
      <c r="B48" s="594" t="s">
        <v>878</v>
      </c>
      <c r="C48" s="620">
        <f>+'Employment-Openshaw study'!F6</f>
        <v>5178</v>
      </c>
      <c r="D48" s="620">
        <f>+'Employment-Openshaw study'!H6</f>
        <v>372960000</v>
      </c>
    </row>
    <row r="49" spans="1:10">
      <c r="B49" s="594" t="s">
        <v>879</v>
      </c>
      <c r="C49" s="620">
        <f>+'Employment-Openshaw study'!F10</f>
        <v>59337</v>
      </c>
      <c r="D49" s="620">
        <f>+'Employment-Openshaw study'!H10</f>
        <v>4272760000</v>
      </c>
    </row>
    <row r="50" spans="1:10">
      <c r="A50" s="1649" t="s">
        <v>1289</v>
      </c>
      <c r="B50" s="1649"/>
      <c r="C50" s="1649"/>
      <c r="D50" s="1649"/>
    </row>
    <row r="51" spans="1:10">
      <c r="A51" s="1649"/>
      <c r="B51" s="1649"/>
      <c r="C51" s="1649"/>
      <c r="D51" s="1649"/>
    </row>
    <row r="52" spans="1:10">
      <c r="A52" s="1649"/>
      <c r="B52" s="1649"/>
      <c r="C52" s="1649"/>
      <c r="D52" s="1649"/>
    </row>
    <row r="53" spans="1:10">
      <c r="A53" s="1649"/>
      <c r="B53" s="1649"/>
      <c r="C53" s="1649"/>
      <c r="D53" s="1649"/>
    </row>
    <row r="54" spans="1:10">
      <c r="A54" s="1649"/>
      <c r="B54" s="1649"/>
      <c r="C54" s="1649"/>
      <c r="D54" s="1649"/>
    </row>
    <row r="55" spans="1:10">
      <c r="A55" s="1649"/>
      <c r="B55" s="1649"/>
      <c r="C55" s="1649"/>
      <c r="D55" s="1649"/>
    </row>
    <row r="56" spans="1:10">
      <c r="A56" s="1649"/>
      <c r="B56" s="1649"/>
      <c r="C56" s="1649"/>
      <c r="D56" s="1649"/>
    </row>
    <row r="57" spans="1:10">
      <c r="A57" s="1649"/>
      <c r="B57" s="1649"/>
      <c r="C57" s="1649"/>
      <c r="D57" s="1649"/>
    </row>
    <row r="58" spans="1:10">
      <c r="A58" s="1649"/>
      <c r="B58" s="1649"/>
      <c r="C58" s="1649"/>
      <c r="D58" s="1649"/>
    </row>
    <row r="59" spans="1:10">
      <c r="A59" s="1649"/>
      <c r="B59" s="1649"/>
      <c r="C59" s="1649"/>
      <c r="D59" s="1649"/>
    </row>
    <row r="60" spans="1:10">
      <c r="A60" s="1649"/>
      <c r="B60" s="1649"/>
      <c r="C60" s="1649"/>
      <c r="D60" s="1649"/>
    </row>
    <row r="62" spans="1:10" ht="16.5" thickBot="1">
      <c r="A62" s="105" t="s">
        <v>1652</v>
      </c>
    </row>
    <row r="63" spans="1:10" ht="26.25" thickBot="1">
      <c r="A63" s="603"/>
      <c r="B63" s="604"/>
      <c r="C63" s="634" t="s">
        <v>841</v>
      </c>
      <c r="D63" s="635" t="s">
        <v>842</v>
      </c>
    </row>
    <row r="64" spans="1:10" ht="13.5" thickBot="1">
      <c r="A64" s="605" t="s">
        <v>880</v>
      </c>
      <c r="B64" s="604"/>
      <c r="C64" s="604"/>
      <c r="D64" s="606"/>
      <c r="E64" s="1650"/>
      <c r="F64" s="1651"/>
      <c r="G64" s="1651"/>
      <c r="H64" s="1651"/>
      <c r="I64" s="1651"/>
      <c r="J64" s="1651"/>
    </row>
    <row r="65" spans="1:10">
      <c r="A65" s="607" t="s">
        <v>881</v>
      </c>
      <c r="B65" s="608"/>
      <c r="C65" s="609">
        <f>+'DoF Personnel Details'!E11</f>
        <v>882</v>
      </c>
      <c r="D65" s="609">
        <f>+'DoF Personnel Details'!F11</f>
        <v>250439928</v>
      </c>
      <c r="E65" s="1650"/>
      <c r="F65" s="1651"/>
      <c r="G65" s="1651"/>
      <c r="H65" s="1651"/>
      <c r="I65" s="1651"/>
      <c r="J65" s="1651"/>
    </row>
    <row r="66" spans="1:10">
      <c r="A66" s="611" t="s">
        <v>1032</v>
      </c>
      <c r="B66" s="602"/>
      <c r="C66" s="612">
        <f>+'DoF Personnel Details'!C79</f>
        <v>1381</v>
      </c>
      <c r="D66" s="612">
        <f>+'DoF Personnel Details'!D79</f>
        <v>264076392</v>
      </c>
      <c r="E66" s="1650"/>
      <c r="F66" s="1651"/>
      <c r="G66" s="1651"/>
      <c r="H66" s="1651"/>
      <c r="I66" s="1651"/>
      <c r="J66" s="1651"/>
    </row>
    <row r="67" spans="1:10" ht="13.5" thickBot="1">
      <c r="A67" s="621" t="s">
        <v>882</v>
      </c>
      <c r="B67" s="622"/>
      <c r="C67" s="623">
        <f>+H16+'DoF Personnel Details'!C42</f>
        <v>2944</v>
      </c>
      <c r="D67" s="623">
        <f>+I16+'DoF Personnel Details'!D42</f>
        <v>520184796</v>
      </c>
      <c r="E67" s="1650"/>
      <c r="F67" s="1651"/>
      <c r="G67" s="1651"/>
      <c r="H67" s="1651"/>
      <c r="I67" s="1651"/>
      <c r="J67" s="1651"/>
    </row>
    <row r="68" spans="1:10" ht="13.5" thickBot="1">
      <c r="A68" s="621" t="s">
        <v>33</v>
      </c>
      <c r="B68" s="622"/>
      <c r="C68" s="623">
        <f>+SUM(C65:C67)</f>
        <v>5207</v>
      </c>
      <c r="D68" s="623">
        <f>+SUM(D65:D67)</f>
        <v>1034701116</v>
      </c>
      <c r="E68" s="1650"/>
      <c r="F68" s="1651"/>
      <c r="G68" s="1651"/>
      <c r="H68" s="1651"/>
      <c r="I68" s="1651"/>
      <c r="J68" s="1651"/>
    </row>
    <row r="69" spans="1:10" ht="15.75" customHeight="1" thickBot="1">
      <c r="A69" s="1652" t="s">
        <v>883</v>
      </c>
      <c r="B69" s="1653"/>
      <c r="C69" s="1654"/>
      <c r="D69" s="1655"/>
      <c r="E69" s="1650"/>
      <c r="F69" s="1651"/>
      <c r="G69" s="1651"/>
      <c r="H69" s="1651"/>
      <c r="I69" s="1651"/>
      <c r="J69" s="1651"/>
    </row>
  </sheetData>
  <mergeCells count="6">
    <mergeCell ref="A50:D60"/>
    <mergeCell ref="E64:J69"/>
    <mergeCell ref="A69:D69"/>
    <mergeCell ref="A15:D15"/>
    <mergeCell ref="A5:D5"/>
    <mergeCell ref="A10:D10"/>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T53"/>
  <sheetViews>
    <sheetView workbookViewId="0"/>
  </sheetViews>
  <sheetFormatPr defaultColWidth="11.42578125" defaultRowHeight="15"/>
  <cols>
    <col min="1" max="1" width="45" customWidth="1"/>
    <col min="2" max="2" width="24.85546875" customWidth="1"/>
    <col min="3" max="3" width="18" customWidth="1"/>
    <col min="4" max="4" width="19.28515625" customWidth="1"/>
    <col min="5" max="5" width="22.28515625" customWidth="1"/>
  </cols>
  <sheetData>
    <row r="1" spans="1:9" ht="24.75">
      <c r="A1" s="1262" t="s">
        <v>1701</v>
      </c>
      <c r="B1" s="1262"/>
      <c r="C1" s="1262"/>
      <c r="D1" s="130"/>
      <c r="E1" s="130"/>
      <c r="F1" s="130"/>
      <c r="G1" s="130"/>
      <c r="H1" s="130"/>
      <c r="I1" s="130"/>
    </row>
    <row r="2" spans="1:9">
      <c r="A2" s="130"/>
      <c r="B2" s="130"/>
      <c r="C2" s="130"/>
      <c r="D2" s="130"/>
      <c r="E2" s="130"/>
      <c r="F2" s="130"/>
      <c r="G2" s="130"/>
      <c r="H2" s="130"/>
      <c r="I2" s="130"/>
    </row>
    <row r="3" spans="1:9">
      <c r="A3" s="130" t="s">
        <v>1702</v>
      </c>
      <c r="B3" s="130"/>
      <c r="C3" s="130"/>
      <c r="D3" s="130"/>
      <c r="E3" s="130"/>
      <c r="F3" s="130"/>
      <c r="G3" s="130"/>
      <c r="H3" s="130"/>
      <c r="I3" s="130"/>
    </row>
    <row r="4" spans="1:9" ht="47.25">
      <c r="A4" s="1470" t="s">
        <v>1703</v>
      </c>
      <c r="B4" s="1471">
        <v>2007</v>
      </c>
      <c r="C4" s="1471" t="s">
        <v>1704</v>
      </c>
      <c r="D4" s="1471" t="s">
        <v>1705</v>
      </c>
      <c r="E4" s="1471" t="s">
        <v>1706</v>
      </c>
      <c r="F4" s="1501" t="s">
        <v>1747</v>
      </c>
      <c r="G4" s="130"/>
      <c r="H4" s="130"/>
      <c r="I4" s="130"/>
    </row>
    <row r="5" spans="1:9">
      <c r="A5" s="1472"/>
      <c r="B5" s="1473"/>
      <c r="C5" s="1473"/>
      <c r="D5" s="1473"/>
      <c r="E5" s="1473"/>
      <c r="F5" s="130"/>
      <c r="G5" s="130"/>
      <c r="H5" s="130"/>
      <c r="I5" s="130"/>
    </row>
    <row r="6" spans="1:9" ht="15.75">
      <c r="A6" s="1474" t="s">
        <v>1707</v>
      </c>
      <c r="B6" s="1475">
        <v>147966</v>
      </c>
      <c r="C6" s="1475">
        <v>154157</v>
      </c>
      <c r="D6" s="1475">
        <v>174304</v>
      </c>
      <c r="E6" s="1475">
        <v>177732</v>
      </c>
      <c r="F6" s="514">
        <f>+E6*(1+$T$43)</f>
        <v>242169.861532159</v>
      </c>
      <c r="G6" s="130"/>
      <c r="H6" s="130"/>
      <c r="I6" s="130"/>
    </row>
    <row r="7" spans="1:9" ht="31.5">
      <c r="A7" s="1476" t="s">
        <v>1708</v>
      </c>
      <c r="B7" s="1477">
        <v>138816</v>
      </c>
      <c r="C7" s="1477">
        <v>143561</v>
      </c>
      <c r="D7" s="1477">
        <v>162806</v>
      </c>
      <c r="E7" s="1477">
        <v>165494</v>
      </c>
      <c r="F7" s="514">
        <f t="shared" ref="F7:F28" si="0">+E7*(1+$T$43)</f>
        <v>225494.89717328968</v>
      </c>
      <c r="G7" s="130"/>
      <c r="H7" s="130"/>
      <c r="I7" s="130"/>
    </row>
    <row r="8" spans="1:9" ht="15.75">
      <c r="A8" s="1476" t="s">
        <v>1709</v>
      </c>
      <c r="B8" s="1478">
        <v>4979</v>
      </c>
      <c r="C8" s="1478">
        <v>5607</v>
      </c>
      <c r="D8" s="1478">
        <v>5971</v>
      </c>
      <c r="E8" s="1478">
        <v>6359</v>
      </c>
      <c r="F8" s="1078">
        <f t="shared" si="0"/>
        <v>8664.4956984842283</v>
      </c>
      <c r="G8" s="130"/>
      <c r="H8" s="130"/>
      <c r="I8" s="130"/>
    </row>
    <row r="9" spans="1:9" ht="15.75">
      <c r="A9" s="1476" t="s">
        <v>1710</v>
      </c>
      <c r="B9" s="1475">
        <v>4171</v>
      </c>
      <c r="C9" s="1475">
        <v>4989</v>
      </c>
      <c r="D9" s="1475">
        <v>5527</v>
      </c>
      <c r="E9" s="1475">
        <v>5878</v>
      </c>
      <c r="F9" s="514">
        <f t="shared" si="0"/>
        <v>8009.1061040557161</v>
      </c>
      <c r="G9" s="130"/>
      <c r="H9" s="130"/>
      <c r="I9" s="130"/>
    </row>
    <row r="10" spans="1:9" ht="15.75">
      <c r="A10" s="1474" t="s">
        <v>1711</v>
      </c>
      <c r="B10" s="1475">
        <v>5804</v>
      </c>
      <c r="C10" s="1475">
        <v>7883</v>
      </c>
      <c r="D10" s="1475">
        <v>8268</v>
      </c>
      <c r="E10" s="1475">
        <v>14903</v>
      </c>
      <c r="F10" s="514">
        <f t="shared" si="0"/>
        <v>20306.176976648916</v>
      </c>
      <c r="G10" s="130"/>
      <c r="H10" s="130"/>
      <c r="I10" s="130"/>
    </row>
    <row r="11" spans="1:9" ht="15.75">
      <c r="A11" s="1474" t="s">
        <v>1712</v>
      </c>
      <c r="B11" s="1475">
        <v>53006</v>
      </c>
      <c r="C11" s="1475">
        <v>63328</v>
      </c>
      <c r="D11" s="1475">
        <v>66347</v>
      </c>
      <c r="E11" s="1475">
        <v>69169</v>
      </c>
      <c r="F11" s="514">
        <f t="shared" si="0"/>
        <v>94246.658746415414</v>
      </c>
      <c r="G11" s="130"/>
      <c r="H11" s="130"/>
      <c r="I11" s="130"/>
    </row>
    <row r="12" spans="1:9" ht="15.75">
      <c r="A12" s="1474" t="s">
        <v>1713</v>
      </c>
      <c r="B12" s="1475">
        <v>8299</v>
      </c>
      <c r="C12" s="1475">
        <v>8717</v>
      </c>
      <c r="D12" s="1475">
        <v>9289</v>
      </c>
      <c r="E12" s="1475">
        <v>9596</v>
      </c>
      <c r="F12" s="514">
        <f t="shared" si="0"/>
        <v>13075.090536665302</v>
      </c>
      <c r="G12" s="130"/>
      <c r="H12" s="130"/>
      <c r="I12" s="130"/>
    </row>
    <row r="13" spans="1:9" ht="15.75">
      <c r="A13" s="1474" t="s">
        <v>1714</v>
      </c>
      <c r="B13" s="1475">
        <v>16044</v>
      </c>
      <c r="C13" s="1475">
        <v>16475</v>
      </c>
      <c r="D13" s="1475">
        <v>17697</v>
      </c>
      <c r="E13" s="1475">
        <v>20621</v>
      </c>
      <c r="F13" s="514">
        <f t="shared" si="0"/>
        <v>28097.274068004921</v>
      </c>
      <c r="G13" s="130"/>
      <c r="H13" s="130"/>
      <c r="I13" s="130"/>
    </row>
    <row r="14" spans="1:9" ht="15.75">
      <c r="A14" s="1474" t="s">
        <v>1715</v>
      </c>
      <c r="B14" s="1475">
        <v>99577</v>
      </c>
      <c r="C14" s="1475">
        <v>118742</v>
      </c>
      <c r="D14" s="1475">
        <v>126584</v>
      </c>
      <c r="E14" s="1475">
        <v>133985</v>
      </c>
      <c r="F14" s="514">
        <f t="shared" si="0"/>
        <v>182562.10979106926</v>
      </c>
      <c r="G14" s="130"/>
      <c r="H14" s="130"/>
      <c r="I14" s="130"/>
    </row>
    <row r="15" spans="1:9" ht="15.75">
      <c r="A15" s="1474" t="s">
        <v>1716</v>
      </c>
      <c r="B15" s="1475">
        <v>18651</v>
      </c>
      <c r="C15" s="1475">
        <v>21697</v>
      </c>
      <c r="D15" s="1475">
        <v>23629</v>
      </c>
      <c r="E15" s="1475">
        <v>24614</v>
      </c>
      <c r="F15" s="514">
        <f t="shared" si="0"/>
        <v>33537.961491192138</v>
      </c>
      <c r="G15" s="130"/>
      <c r="H15" s="130"/>
      <c r="I15" s="130"/>
    </row>
    <row r="16" spans="1:9" ht="15.75">
      <c r="A16" s="1474" t="s">
        <v>1717</v>
      </c>
      <c r="B16" s="1475">
        <v>10342</v>
      </c>
      <c r="C16" s="1475">
        <v>11123</v>
      </c>
      <c r="D16" s="1475">
        <v>12595</v>
      </c>
      <c r="E16" s="1475">
        <v>13632</v>
      </c>
      <c r="F16" s="514">
        <f t="shared" si="0"/>
        <v>18574.367882015569</v>
      </c>
      <c r="G16" s="130"/>
      <c r="H16" s="130"/>
      <c r="I16" s="130"/>
    </row>
    <row r="17" spans="1:9" ht="15.75">
      <c r="A17" s="1474" t="s">
        <v>1718</v>
      </c>
      <c r="B17" s="1475">
        <v>13970</v>
      </c>
      <c r="C17" s="1475">
        <v>22087</v>
      </c>
      <c r="D17" s="1475">
        <v>24409</v>
      </c>
      <c r="E17" s="1475">
        <v>26652</v>
      </c>
      <c r="F17" s="514">
        <f t="shared" si="0"/>
        <v>36314.851290454739</v>
      </c>
      <c r="G17" s="130"/>
      <c r="H17" s="130"/>
      <c r="I17" s="130"/>
    </row>
    <row r="18" spans="1:9" ht="15.75">
      <c r="A18" s="1474" t="s">
        <v>1719</v>
      </c>
      <c r="B18" s="1475">
        <v>30473</v>
      </c>
      <c r="C18" s="1475">
        <v>25979</v>
      </c>
      <c r="D18" s="1475">
        <v>28003</v>
      </c>
      <c r="E18" s="1475">
        <v>30983</v>
      </c>
      <c r="F18" s="514">
        <f t="shared" si="0"/>
        <v>42216.082752970098</v>
      </c>
      <c r="G18" s="130"/>
      <c r="H18" s="130"/>
      <c r="I18" s="130"/>
    </row>
    <row r="19" spans="1:9" ht="15.75">
      <c r="A19" s="1474" t="s">
        <v>1720</v>
      </c>
      <c r="B19" s="1475">
        <v>24731</v>
      </c>
      <c r="C19" s="1475">
        <v>29592</v>
      </c>
      <c r="D19" s="1475">
        <v>33178</v>
      </c>
      <c r="E19" s="1475">
        <v>36834</v>
      </c>
      <c r="F19" s="514">
        <f t="shared" si="0"/>
        <v>50188.399836132739</v>
      </c>
      <c r="G19" s="130"/>
      <c r="H19" s="130"/>
      <c r="I19" s="130"/>
    </row>
    <row r="20" spans="1:9" ht="47.25">
      <c r="A20" s="1474" t="s">
        <v>1721</v>
      </c>
      <c r="B20" s="1475">
        <v>7791</v>
      </c>
      <c r="C20" s="1475">
        <v>8354</v>
      </c>
      <c r="D20" s="1475">
        <v>8877</v>
      </c>
      <c r="E20" s="1475">
        <v>9552</v>
      </c>
      <c r="F20" s="514">
        <f t="shared" si="0"/>
        <v>13015.138058172883</v>
      </c>
      <c r="G20" s="130"/>
      <c r="H20" s="130"/>
      <c r="I20" s="130"/>
    </row>
    <row r="21" spans="1:9" ht="15.75">
      <c r="A21" s="1474" t="s">
        <v>1722</v>
      </c>
      <c r="B21" s="1475">
        <v>12991</v>
      </c>
      <c r="C21" s="1475">
        <v>13953</v>
      </c>
      <c r="D21" s="1475">
        <v>14637</v>
      </c>
      <c r="E21" s="1475">
        <v>15488</v>
      </c>
      <c r="F21" s="514">
        <f t="shared" si="0"/>
        <v>21103.272429332243</v>
      </c>
      <c r="G21" s="130"/>
      <c r="H21" s="130"/>
      <c r="I21" s="130"/>
    </row>
    <row r="22" spans="1:9" ht="15.75">
      <c r="A22" s="1474" t="s">
        <v>1723</v>
      </c>
      <c r="B22" s="1475">
        <v>9004</v>
      </c>
      <c r="C22" s="1475">
        <v>9967</v>
      </c>
      <c r="D22" s="1475">
        <v>10384</v>
      </c>
      <c r="E22" s="1475">
        <v>11156</v>
      </c>
      <c r="F22" s="514">
        <f t="shared" si="0"/>
        <v>15200.678410487508</v>
      </c>
      <c r="G22" s="130"/>
      <c r="H22" s="130"/>
      <c r="I22" s="130"/>
    </row>
    <row r="23" spans="1:9" ht="15.75">
      <c r="A23" s="1474" t="s">
        <v>1724</v>
      </c>
      <c r="B23" s="1475">
        <v>18199</v>
      </c>
      <c r="C23" s="1475">
        <v>20142</v>
      </c>
      <c r="D23" s="1475">
        <v>21869</v>
      </c>
      <c r="E23" s="1475">
        <v>23848</v>
      </c>
      <c r="F23" s="514">
        <f t="shared" si="0"/>
        <v>32494.243342892263</v>
      </c>
      <c r="G23" s="130"/>
      <c r="H23" s="130"/>
      <c r="I23" s="130"/>
    </row>
    <row r="24" spans="1:9" ht="15.75">
      <c r="A24" s="1474" t="s">
        <v>1725</v>
      </c>
      <c r="B24" s="1475">
        <v>18979</v>
      </c>
      <c r="C24" s="1475">
        <v>19678</v>
      </c>
      <c r="D24" s="1475">
        <v>21030</v>
      </c>
      <c r="E24" s="1475">
        <v>22232</v>
      </c>
      <c r="F24" s="514">
        <f t="shared" si="0"/>
        <v>30292.352314625157</v>
      </c>
      <c r="G24" s="130"/>
      <c r="H24" s="130"/>
      <c r="I24" s="130"/>
    </row>
    <row r="25" spans="1:9" ht="15.75">
      <c r="A25" s="1474" t="s">
        <v>1726</v>
      </c>
      <c r="B25" s="1475">
        <v>495826</v>
      </c>
      <c r="C25" s="1475">
        <v>551874</v>
      </c>
      <c r="D25" s="1475">
        <v>601100</v>
      </c>
      <c r="E25" s="1475">
        <v>640998</v>
      </c>
      <c r="F25" s="514">
        <f t="shared" si="0"/>
        <v>873395.88201556751</v>
      </c>
      <c r="G25" s="130"/>
      <c r="H25" s="130"/>
      <c r="I25" s="130"/>
    </row>
    <row r="26" spans="1:9" ht="31.5">
      <c r="A26" s="1474" t="s">
        <v>1727</v>
      </c>
      <c r="B26" s="1475">
        <v>-27580</v>
      </c>
      <c r="C26" s="1475">
        <v>-29983</v>
      </c>
      <c r="D26" s="1475">
        <v>-32505</v>
      </c>
      <c r="E26" s="1475">
        <v>-37233</v>
      </c>
      <c r="F26" s="514">
        <f t="shared" si="0"/>
        <v>-50732.059811552652</v>
      </c>
      <c r="G26" s="130"/>
      <c r="H26" s="130"/>
      <c r="I26" s="130"/>
    </row>
    <row r="27" spans="1:9" ht="15.75">
      <c r="A27" s="1479" t="s">
        <v>1728</v>
      </c>
      <c r="B27" s="1475">
        <v>42293</v>
      </c>
      <c r="C27" s="1475">
        <v>31209</v>
      </c>
      <c r="D27" s="1475">
        <v>33972</v>
      </c>
      <c r="E27" s="1475">
        <v>39051</v>
      </c>
      <c r="F27" s="514">
        <f t="shared" si="0"/>
        <v>53209.187218353145</v>
      </c>
      <c r="G27" s="130"/>
      <c r="H27" s="130"/>
      <c r="I27" s="130"/>
    </row>
    <row r="28" spans="1:9" ht="15.75">
      <c r="A28" s="1479" t="s">
        <v>1729</v>
      </c>
      <c r="B28" s="1475">
        <v>510539</v>
      </c>
      <c r="C28" s="1475">
        <v>553100</v>
      </c>
      <c r="D28" s="1475">
        <v>602567</v>
      </c>
      <c r="E28" s="1475">
        <v>642816</v>
      </c>
      <c r="F28" s="514">
        <f t="shared" si="0"/>
        <v>875873.00942236802</v>
      </c>
      <c r="G28" s="514">
        <f>44773007.5568228/1000</f>
        <v>44773.007556822799</v>
      </c>
      <c r="H28" s="1480">
        <f>+G28-E8</f>
        <v>38414.007556822799</v>
      </c>
      <c r="I28" s="130"/>
    </row>
    <row r="29" spans="1:9">
      <c r="A29" s="130"/>
      <c r="B29" s="130"/>
      <c r="C29" s="130"/>
      <c r="D29" s="130"/>
      <c r="E29" s="130"/>
      <c r="F29" s="130"/>
      <c r="G29" s="130"/>
      <c r="H29" s="1480">
        <f>+H28+E28</f>
        <v>681230.00755682285</v>
      </c>
      <c r="I29" s="1481">
        <f>+G28/H29</f>
        <v>6.5723774731235959E-2</v>
      </c>
    </row>
    <row r="30" spans="1:9">
      <c r="A30" s="130"/>
      <c r="B30" s="130"/>
      <c r="C30" s="130"/>
      <c r="D30" s="130"/>
      <c r="E30" s="130"/>
      <c r="F30" s="130"/>
      <c r="G30" s="130"/>
      <c r="H30" s="130"/>
      <c r="I30" s="130"/>
    </row>
    <row r="31" spans="1:9" ht="15.75">
      <c r="A31" s="1474" t="s">
        <v>1707</v>
      </c>
      <c r="B31" s="1482">
        <f t="shared" ref="B31:E53" si="1">+B6/B$28</f>
        <v>0.28982310851864401</v>
      </c>
      <c r="C31" s="1482">
        <f t="shared" si="1"/>
        <v>0.27871451817031279</v>
      </c>
      <c r="D31" s="1482">
        <f t="shared" si="1"/>
        <v>0.28926907713167166</v>
      </c>
      <c r="E31" s="1482">
        <f t="shared" si="1"/>
        <v>0.27648969534050177</v>
      </c>
      <c r="F31" s="130"/>
      <c r="G31" s="130"/>
      <c r="H31" s="130"/>
      <c r="I31" s="130"/>
    </row>
    <row r="32" spans="1:9" ht="31.5">
      <c r="A32" s="1476" t="s">
        <v>1708</v>
      </c>
      <c r="B32" s="1482">
        <f t="shared" si="1"/>
        <v>0.27190087339067143</v>
      </c>
      <c r="C32" s="1482">
        <f t="shared" si="1"/>
        <v>0.25955704212619779</v>
      </c>
      <c r="D32" s="1482">
        <f t="shared" si="1"/>
        <v>0.27018738165216483</v>
      </c>
      <c r="E32" s="1482">
        <f t="shared" si="1"/>
        <v>0.25745158801274393</v>
      </c>
      <c r="F32" s="130"/>
      <c r="G32" s="130"/>
      <c r="H32" s="130" t="s">
        <v>1749</v>
      </c>
      <c r="I32" s="130"/>
    </row>
    <row r="33" spans="1:20" ht="15.75">
      <c r="A33" s="1476" t="s">
        <v>1709</v>
      </c>
      <c r="B33" s="1483">
        <f t="shared" si="1"/>
        <v>9.7524381095273824E-3</v>
      </c>
      <c r="C33" s="1483">
        <f t="shared" si="1"/>
        <v>1.0137407340444765E-2</v>
      </c>
      <c r="D33" s="1483">
        <f t="shared" si="1"/>
        <v>9.9092715000987444E-3</v>
      </c>
      <c r="E33" s="1483">
        <f t="shared" si="1"/>
        <v>9.8924108920748714E-3</v>
      </c>
      <c r="F33" s="130"/>
      <c r="G33" s="130"/>
      <c r="H33" s="1667"/>
      <c r="I33" s="1667"/>
      <c r="J33" s="1665" t="s">
        <v>1734</v>
      </c>
      <c r="K33" s="1665" t="s">
        <v>1735</v>
      </c>
      <c r="L33" s="1665" t="s">
        <v>1736</v>
      </c>
      <c r="M33" s="1665" t="s">
        <v>1737</v>
      </c>
      <c r="N33" s="1665" t="s">
        <v>1738</v>
      </c>
      <c r="O33" s="1665" t="s">
        <v>1739</v>
      </c>
      <c r="P33" s="1484" t="s">
        <v>1740</v>
      </c>
      <c r="Q33" s="1666" t="s">
        <v>1742</v>
      </c>
      <c r="R33" s="1484" t="s">
        <v>1743</v>
      </c>
      <c r="S33" s="1665" t="s">
        <v>1745</v>
      </c>
    </row>
    <row r="34" spans="1:20" ht="15.75">
      <c r="A34" s="1476" t="s">
        <v>1710</v>
      </c>
      <c r="B34" s="1482">
        <f t="shared" si="1"/>
        <v>8.1697970184452118E-3</v>
      </c>
      <c r="C34" s="1482">
        <f t="shared" si="1"/>
        <v>9.0200687036702219E-3</v>
      </c>
      <c r="D34" s="1482">
        <f t="shared" si="1"/>
        <v>9.1724239794080988E-3</v>
      </c>
      <c r="E34" s="1482">
        <f t="shared" si="1"/>
        <v>9.1441407805655118E-3</v>
      </c>
      <c r="F34" s="130"/>
      <c r="G34" s="130"/>
      <c r="H34" s="1667"/>
      <c r="I34" s="1667"/>
      <c r="J34" s="1665"/>
      <c r="K34" s="1665"/>
      <c r="L34" s="1665"/>
      <c r="M34" s="1665"/>
      <c r="N34" s="1665"/>
      <c r="O34" s="1665"/>
      <c r="P34" s="1485"/>
      <c r="Q34" s="1666"/>
      <c r="R34" s="1485"/>
      <c r="S34" s="1665"/>
    </row>
    <row r="35" spans="1:20" ht="25.5">
      <c r="A35" s="1474" t="s">
        <v>1711</v>
      </c>
      <c r="B35" s="1482">
        <f t="shared" si="1"/>
        <v>1.136837734237737E-2</v>
      </c>
      <c r="C35" s="1482">
        <f t="shared" si="1"/>
        <v>1.4252395588501176E-2</v>
      </c>
      <c r="D35" s="1482">
        <f t="shared" si="1"/>
        <v>1.3721295723131204E-2</v>
      </c>
      <c r="E35" s="1482">
        <f t="shared" si="1"/>
        <v>2.3183928215850257E-2</v>
      </c>
      <c r="F35" s="130"/>
      <c r="G35" s="130"/>
      <c r="H35" s="1667"/>
      <c r="I35" s="1667"/>
      <c r="J35" s="1665"/>
      <c r="K35" s="1665"/>
      <c r="L35" s="1665"/>
      <c r="M35" s="1665"/>
      <c r="N35" s="1665"/>
      <c r="O35" s="1665"/>
      <c r="P35" s="1484" t="s">
        <v>1741</v>
      </c>
      <c r="Q35" s="1666"/>
      <c r="R35" s="1484" t="s">
        <v>1744</v>
      </c>
      <c r="S35" s="1665"/>
    </row>
    <row r="36" spans="1:20" ht="15.75">
      <c r="A36" s="1474" t="s">
        <v>1712</v>
      </c>
      <c r="B36" s="1482">
        <f t="shared" si="1"/>
        <v>0.10382360603205631</v>
      </c>
      <c r="C36" s="1482">
        <f t="shared" si="1"/>
        <v>0.1144964744169228</v>
      </c>
      <c r="D36" s="1482">
        <f t="shared" si="1"/>
        <v>0.11010725778212216</v>
      </c>
      <c r="E36" s="1482">
        <f t="shared" si="1"/>
        <v>0.10760310882118677</v>
      </c>
      <c r="F36" s="130"/>
      <c r="G36" s="130"/>
      <c r="H36" s="1494"/>
      <c r="I36" s="1494"/>
      <c r="J36" s="1494"/>
      <c r="K36" s="1494"/>
      <c r="L36" s="1494"/>
      <c r="M36" s="1494"/>
      <c r="N36" s="1494"/>
      <c r="O36" s="1494"/>
      <c r="P36" s="1494"/>
      <c r="Q36" s="1495"/>
      <c r="R36" s="1494"/>
      <c r="S36" s="1494"/>
    </row>
    <row r="37" spans="1:20" ht="15.75">
      <c r="A37" s="1474" t="s">
        <v>1713</v>
      </c>
      <c r="B37" s="1482">
        <f t="shared" si="1"/>
        <v>1.625536932536006E-2</v>
      </c>
      <c r="C37" s="1482">
        <f t="shared" si="1"/>
        <v>1.5760260350750316E-2</v>
      </c>
      <c r="D37" s="1482">
        <f t="shared" si="1"/>
        <v>1.5415713107422079E-2</v>
      </c>
      <c r="E37" s="1482">
        <f t="shared" si="1"/>
        <v>1.4928066507367582E-2</v>
      </c>
      <c r="F37" s="130"/>
      <c r="G37" s="130"/>
      <c r="H37" s="1486" t="s">
        <v>1746</v>
      </c>
      <c r="I37" s="1487"/>
      <c r="J37" s="1488">
        <v>58.1</v>
      </c>
      <c r="K37" s="1488">
        <v>5.9</v>
      </c>
      <c r="L37" s="1488">
        <v>8.5</v>
      </c>
      <c r="M37" s="1488">
        <v>12.1</v>
      </c>
      <c r="N37" s="1488">
        <v>4.0999999999999996</v>
      </c>
      <c r="O37" s="1488">
        <v>5.0999999999999996</v>
      </c>
      <c r="P37" s="1488">
        <v>6.2</v>
      </c>
      <c r="Q37" s="1496">
        <v>100</v>
      </c>
      <c r="R37" s="1485"/>
      <c r="S37" s="1485"/>
    </row>
    <row r="38" spans="1:20" ht="15.75">
      <c r="A38" s="1474" t="s">
        <v>1714</v>
      </c>
      <c r="B38" s="1482">
        <f t="shared" si="1"/>
        <v>3.1425610971933582E-2</v>
      </c>
      <c r="C38" s="1482">
        <f t="shared" si="1"/>
        <v>2.9786657024046283E-2</v>
      </c>
      <c r="D38" s="1482">
        <f t="shared" si="1"/>
        <v>2.9369348138879162E-2</v>
      </c>
      <c r="E38" s="1482">
        <f t="shared" si="1"/>
        <v>3.2079164177618476E-2</v>
      </c>
      <c r="F38" s="130"/>
      <c r="G38" s="130"/>
      <c r="H38" s="1486"/>
      <c r="I38" s="1486"/>
      <c r="J38" s="1486"/>
      <c r="K38" s="1486"/>
      <c r="L38" s="1486"/>
      <c r="M38" s="1486"/>
      <c r="N38" s="1486"/>
      <c r="O38" s="1486"/>
      <c r="P38" s="1486"/>
      <c r="Q38" s="1497"/>
      <c r="R38" s="1486"/>
      <c r="S38" s="1486"/>
    </row>
    <row r="39" spans="1:20" ht="15.75">
      <c r="A39" s="1474" t="s">
        <v>1715</v>
      </c>
      <c r="B39" s="1482">
        <f t="shared" si="1"/>
        <v>0.19504288604788272</v>
      </c>
      <c r="C39" s="1482">
        <f t="shared" si="1"/>
        <v>0.21468450551437354</v>
      </c>
      <c r="D39" s="1482">
        <f t="shared" si="1"/>
        <v>0.21007456432230773</v>
      </c>
      <c r="E39" s="1482">
        <f t="shared" si="1"/>
        <v>0.20843445091596974</v>
      </c>
      <c r="F39" s="130"/>
      <c r="G39" s="130"/>
      <c r="H39" s="1489">
        <v>2011</v>
      </c>
      <c r="I39" s="1490"/>
      <c r="J39" s="1491">
        <v>279.8</v>
      </c>
      <c r="K39" s="1491">
        <v>460.7</v>
      </c>
      <c r="L39" s="1491">
        <v>307.89999999999998</v>
      </c>
      <c r="M39" s="1491">
        <v>392.4</v>
      </c>
      <c r="N39" s="1491">
        <v>564.4</v>
      </c>
      <c r="O39" s="1491">
        <v>501.2</v>
      </c>
      <c r="P39" s="1491">
        <v>329.8</v>
      </c>
      <c r="Q39" s="1498">
        <v>332.6</v>
      </c>
      <c r="R39" s="1491">
        <v>7.6</v>
      </c>
      <c r="S39" s="1491">
        <v>12.3</v>
      </c>
    </row>
    <row r="40" spans="1:20" ht="15.75">
      <c r="A40" s="1474" t="s">
        <v>1716</v>
      </c>
      <c r="B40" s="1482">
        <f t="shared" si="1"/>
        <v>3.6531978947739546E-2</v>
      </c>
      <c r="C40" s="1482">
        <f t="shared" si="1"/>
        <v>3.9227987705659016E-2</v>
      </c>
      <c r="D40" s="1482">
        <f t="shared" si="1"/>
        <v>3.9213896545944267E-2</v>
      </c>
      <c r="E40" s="1482">
        <f t="shared" si="1"/>
        <v>3.8290895061728392E-2</v>
      </c>
      <c r="F40" s="130"/>
      <c r="G40" s="130"/>
      <c r="H40" s="1492">
        <v>2010</v>
      </c>
      <c r="I40" s="1493"/>
      <c r="J40" s="1491">
        <v>271.2</v>
      </c>
      <c r="K40" s="1491">
        <v>417.2</v>
      </c>
      <c r="L40" s="1491">
        <v>279.5</v>
      </c>
      <c r="M40" s="1491">
        <v>350.2</v>
      </c>
      <c r="N40" s="1491">
        <v>512.1</v>
      </c>
      <c r="O40" s="1491">
        <v>428.4</v>
      </c>
      <c r="P40" s="1491">
        <v>287.7</v>
      </c>
      <c r="Q40" s="1498">
        <v>309</v>
      </c>
      <c r="R40" s="1491">
        <v>7.4</v>
      </c>
      <c r="S40" s="1491">
        <v>9.9</v>
      </c>
    </row>
    <row r="41" spans="1:20" ht="15.75">
      <c r="A41" s="1474" t="s">
        <v>1717</v>
      </c>
      <c r="B41" s="1482">
        <f t="shared" si="1"/>
        <v>2.0257022480163121E-2</v>
      </c>
      <c r="C41" s="1482">
        <f t="shared" si="1"/>
        <v>2.0110287470620141E-2</v>
      </c>
      <c r="D41" s="1482">
        <f t="shared" si="1"/>
        <v>2.0902239916888912E-2</v>
      </c>
      <c r="E41" s="1482">
        <f t="shared" si="1"/>
        <v>2.1206690561529271E-2</v>
      </c>
      <c r="F41" s="130"/>
      <c r="G41" s="130"/>
      <c r="H41" s="1486">
        <v>2009</v>
      </c>
      <c r="I41" s="1486"/>
      <c r="J41" s="1485">
        <v>258</v>
      </c>
      <c r="K41" s="1485">
        <v>369</v>
      </c>
      <c r="L41" s="1485">
        <v>259.10000000000002</v>
      </c>
      <c r="M41" s="1485">
        <v>328.3</v>
      </c>
      <c r="N41" s="1485">
        <v>452.8</v>
      </c>
      <c r="O41" s="1485">
        <v>380.1</v>
      </c>
      <c r="P41" s="1485">
        <v>263.10000000000002</v>
      </c>
      <c r="Q41" s="1499">
        <v>287.7</v>
      </c>
      <c r="R41" s="1485">
        <v>8.4</v>
      </c>
      <c r="S41" s="1485">
        <v>9.6</v>
      </c>
    </row>
    <row r="42" spans="1:20" ht="15.75">
      <c r="A42" s="1474" t="s">
        <v>1718</v>
      </c>
      <c r="B42" s="1482">
        <f t="shared" si="1"/>
        <v>2.7363237676259797E-2</v>
      </c>
      <c r="C42" s="1482">
        <f t="shared" si="1"/>
        <v>3.9933104321099255E-2</v>
      </c>
      <c r="D42" s="1482">
        <f t="shared" si="1"/>
        <v>4.0508358406617026E-2</v>
      </c>
      <c r="E42" s="1482">
        <f t="shared" si="1"/>
        <v>4.1461320191158904E-2</v>
      </c>
      <c r="F42" s="130"/>
      <c r="G42" s="130"/>
      <c r="H42" s="1486">
        <v>2008</v>
      </c>
      <c r="I42" s="1486"/>
      <c r="J42" s="1485">
        <v>240.3</v>
      </c>
      <c r="K42" s="1485">
        <v>331</v>
      </c>
      <c r="L42" s="1485">
        <v>237.6</v>
      </c>
      <c r="M42" s="1485">
        <v>319.10000000000002</v>
      </c>
      <c r="N42" s="1485">
        <v>383.5</v>
      </c>
      <c r="O42" s="1485">
        <v>339</v>
      </c>
      <c r="P42" s="1485">
        <v>232.3</v>
      </c>
      <c r="Q42" s="1499">
        <v>265.39999999999998</v>
      </c>
      <c r="R42" s="1485">
        <v>8.6999999999999993</v>
      </c>
      <c r="S42" s="1485">
        <v>10.7</v>
      </c>
    </row>
    <row r="43" spans="1:20" ht="15.75">
      <c r="A43" s="1474" t="s">
        <v>1719</v>
      </c>
      <c r="B43" s="1482">
        <f t="shared" si="1"/>
        <v>5.9687898475924463E-2</v>
      </c>
      <c r="C43" s="1482">
        <f t="shared" si="1"/>
        <v>4.6969806544928584E-2</v>
      </c>
      <c r="D43" s="1482">
        <f t="shared" si="1"/>
        <v>4.6472840364639952E-2</v>
      </c>
      <c r="E43" s="1482">
        <f t="shared" si="1"/>
        <v>4.8198862504978096E-2</v>
      </c>
      <c r="F43" s="130"/>
      <c r="G43" s="130"/>
      <c r="H43" s="1486">
        <v>2007</v>
      </c>
      <c r="I43" s="1486"/>
      <c r="J43" s="1485">
        <v>224.7</v>
      </c>
      <c r="K43" s="1485">
        <v>302.60000000000002</v>
      </c>
      <c r="L43" s="1485">
        <v>221.2</v>
      </c>
      <c r="M43" s="1485">
        <v>291.39999999999998</v>
      </c>
      <c r="N43" s="1485">
        <v>336.2</v>
      </c>
      <c r="O43" s="1485">
        <v>289.10000000000002</v>
      </c>
      <c r="P43" s="1485">
        <v>211.6</v>
      </c>
      <c r="Q43" s="1499">
        <v>244.1</v>
      </c>
      <c r="R43" s="1485">
        <v>8</v>
      </c>
      <c r="S43" s="1485">
        <v>8.5</v>
      </c>
      <c r="T43" s="1500">
        <f>+(Q39-Q43)/Q43</f>
        <v>0.36255632937320781</v>
      </c>
    </row>
    <row r="44" spans="1:20" ht="15.75">
      <c r="A44" s="1474" t="s">
        <v>1720</v>
      </c>
      <c r="B44" s="1482">
        <f t="shared" si="1"/>
        <v>4.8440961415288551E-2</v>
      </c>
      <c r="C44" s="1482">
        <f t="shared" si="1"/>
        <v>5.350207919001989E-2</v>
      </c>
      <c r="D44" s="1482">
        <f t="shared" si="1"/>
        <v>5.5061096940257265E-2</v>
      </c>
      <c r="E44" s="1482">
        <f t="shared" si="1"/>
        <v>5.7301000597371567E-2</v>
      </c>
      <c r="F44" s="130"/>
      <c r="G44" s="130"/>
      <c r="H44" s="1486">
        <v>2006</v>
      </c>
      <c r="I44" s="1486"/>
      <c r="J44" s="1485">
        <v>209.1</v>
      </c>
      <c r="K44" s="1485">
        <v>273.5</v>
      </c>
      <c r="L44" s="1485">
        <v>208.8</v>
      </c>
      <c r="M44" s="1485">
        <v>266.89999999999998</v>
      </c>
      <c r="N44" s="1485">
        <v>313.5</v>
      </c>
      <c r="O44" s="1485">
        <v>261.60000000000002</v>
      </c>
      <c r="P44" s="1485">
        <v>197.5</v>
      </c>
      <c r="Q44" s="1499">
        <v>226.1</v>
      </c>
      <c r="R44" s="1485">
        <v>13.9</v>
      </c>
      <c r="S44" s="1485">
        <v>12.2</v>
      </c>
    </row>
    <row r="45" spans="1:20" ht="47.25">
      <c r="A45" s="1474" t="s">
        <v>1721</v>
      </c>
      <c r="B45" s="1482">
        <f t="shared" si="1"/>
        <v>1.5260342500768796E-2</v>
      </c>
      <c r="C45" s="1482">
        <f t="shared" si="1"/>
        <v>1.5103959500994395E-2</v>
      </c>
      <c r="D45" s="1482">
        <f t="shared" si="1"/>
        <v>1.4731971714348778E-2</v>
      </c>
      <c r="E45" s="1482">
        <f t="shared" si="1"/>
        <v>1.4859617682198328E-2</v>
      </c>
      <c r="F45" s="130"/>
      <c r="G45" s="130"/>
      <c r="H45" s="1486">
        <v>2005</v>
      </c>
      <c r="I45" s="1486"/>
      <c r="J45" s="1485">
        <v>181</v>
      </c>
      <c r="K45" s="1485">
        <v>240.6</v>
      </c>
      <c r="L45" s="1485">
        <v>192.8</v>
      </c>
      <c r="M45" s="1485">
        <v>236.9</v>
      </c>
      <c r="N45" s="1485">
        <v>269</v>
      </c>
      <c r="O45" s="1485">
        <v>230.1</v>
      </c>
      <c r="P45" s="1485">
        <v>182.6</v>
      </c>
      <c r="Q45" s="1499">
        <v>198.5</v>
      </c>
      <c r="R45" s="1485">
        <v>15.4</v>
      </c>
      <c r="S45" s="1485">
        <v>13.5</v>
      </c>
    </row>
    <row r="46" spans="1:20" ht="15.75">
      <c r="A46" s="1474" t="s">
        <v>1722</v>
      </c>
      <c r="B46" s="1482">
        <f t="shared" si="1"/>
        <v>2.5445656453277812E-2</v>
      </c>
      <c r="C46" s="1482">
        <f t="shared" si="1"/>
        <v>2.5226902910866027E-2</v>
      </c>
      <c r="D46" s="1482">
        <f t="shared" si="1"/>
        <v>2.4291074685470662E-2</v>
      </c>
      <c r="E46" s="1482">
        <f t="shared" si="1"/>
        <v>2.4093986459577856E-2</v>
      </c>
      <c r="F46" s="130"/>
      <c r="G46" s="130"/>
      <c r="H46" s="1486">
        <v>2004</v>
      </c>
      <c r="I46" s="1486"/>
      <c r="J46" s="1485">
        <v>154.4</v>
      </c>
      <c r="K46" s="1485">
        <v>196.5</v>
      </c>
      <c r="L46" s="1485">
        <v>179.5</v>
      </c>
      <c r="M46" s="1485">
        <v>211.7</v>
      </c>
      <c r="N46" s="1485">
        <v>218.3</v>
      </c>
      <c r="O46" s="1485">
        <v>202.8</v>
      </c>
      <c r="P46" s="1485">
        <v>169.1</v>
      </c>
      <c r="Q46" s="1499">
        <v>172</v>
      </c>
      <c r="R46" s="1485">
        <v>11.5</v>
      </c>
      <c r="S46" s="1485">
        <v>16.2</v>
      </c>
    </row>
    <row r="47" spans="1:20" ht="15.75">
      <c r="A47" s="1474" t="s">
        <v>1723</v>
      </c>
      <c r="B47" s="1482">
        <f t="shared" si="1"/>
        <v>1.7636262851613686E-2</v>
      </c>
      <c r="C47" s="1482">
        <f t="shared" si="1"/>
        <v>1.8020249502802385E-2</v>
      </c>
      <c r="D47" s="1482">
        <f t="shared" si="1"/>
        <v>1.7232938411828061E-2</v>
      </c>
      <c r="E47" s="1482">
        <f t="shared" si="1"/>
        <v>1.7354888490641179E-2</v>
      </c>
      <c r="F47" s="130"/>
      <c r="G47" s="130"/>
      <c r="H47" s="1486">
        <v>2003</v>
      </c>
      <c r="I47" s="1486"/>
      <c r="J47" s="1485">
        <v>143.6</v>
      </c>
      <c r="K47" s="1485">
        <v>165.8</v>
      </c>
      <c r="L47" s="1485">
        <v>166.8</v>
      </c>
      <c r="M47" s="1485">
        <v>180</v>
      </c>
      <c r="N47" s="1485">
        <v>172.9</v>
      </c>
      <c r="O47" s="1485">
        <v>172.1</v>
      </c>
      <c r="P47" s="1485">
        <v>148.30000000000001</v>
      </c>
      <c r="Q47" s="1499">
        <v>154.30000000000001</v>
      </c>
      <c r="R47" s="1485">
        <v>9.6</v>
      </c>
      <c r="S47" s="1485">
        <v>15</v>
      </c>
    </row>
    <row r="48" spans="1:20" ht="15.75">
      <c r="A48" s="1474" t="s">
        <v>1724</v>
      </c>
      <c r="B48" s="1482">
        <f t="shared" si="1"/>
        <v>3.5646640119559918E-2</v>
      </c>
      <c r="C48" s="1482">
        <f t="shared" si="1"/>
        <v>3.6416561200506237E-2</v>
      </c>
      <c r="D48" s="1482">
        <f t="shared" si="1"/>
        <v>3.6293059526990357E-2</v>
      </c>
      <c r="E48" s="1482">
        <f t="shared" si="1"/>
        <v>3.709926324173636E-2</v>
      </c>
      <c r="F48" s="130"/>
      <c r="G48" s="130"/>
      <c r="H48" s="1486">
        <v>2002</v>
      </c>
      <c r="I48" s="1486"/>
      <c r="J48" s="1485">
        <v>136.4</v>
      </c>
      <c r="K48" s="1485">
        <v>136.69999999999999</v>
      </c>
      <c r="L48" s="1485">
        <v>152.69999999999999</v>
      </c>
      <c r="M48" s="1485">
        <v>156.6</v>
      </c>
      <c r="N48" s="1485">
        <v>143.80000000000001</v>
      </c>
      <c r="O48" s="1485">
        <v>143.9</v>
      </c>
      <c r="P48" s="1485">
        <v>134.4</v>
      </c>
      <c r="Q48" s="1499">
        <v>140.80000000000001</v>
      </c>
      <c r="R48" s="1485">
        <v>14.8</v>
      </c>
      <c r="S48" s="1485">
        <v>13.2</v>
      </c>
    </row>
    <row r="49" spans="1:19" ht="15.75">
      <c r="A49" s="1474" t="s">
        <v>1725</v>
      </c>
      <c r="B49" s="1482">
        <f t="shared" si="1"/>
        <v>3.7174437212436268E-2</v>
      </c>
      <c r="C49" s="1482">
        <f t="shared" si="1"/>
        <v>3.5577653227264507E-2</v>
      </c>
      <c r="D49" s="1482">
        <f t="shared" si="1"/>
        <v>3.4900683243523127E-2</v>
      </c>
      <c r="E49" s="1482">
        <f t="shared" si="1"/>
        <v>3.4585324571883715E-2</v>
      </c>
      <c r="F49" s="130"/>
      <c r="G49" s="130"/>
      <c r="H49" s="1486">
        <v>2001</v>
      </c>
      <c r="I49" s="1486"/>
      <c r="J49" s="1485">
        <v>117.6</v>
      </c>
      <c r="K49" s="1485">
        <v>131</v>
      </c>
      <c r="L49" s="1485">
        <v>130.5</v>
      </c>
      <c r="M49" s="1485">
        <v>132.9</v>
      </c>
      <c r="N49" s="1485">
        <v>129.30000000000001</v>
      </c>
      <c r="O49" s="1485">
        <v>129.5</v>
      </c>
      <c r="P49" s="1485">
        <v>122.1</v>
      </c>
      <c r="Q49" s="1499">
        <v>122.7</v>
      </c>
      <c r="R49" s="1485">
        <v>22.7</v>
      </c>
      <c r="S49" s="1485">
        <v>29.8</v>
      </c>
    </row>
    <row r="50" spans="1:19" ht="15.75">
      <c r="A50" s="1474" t="s">
        <v>1726</v>
      </c>
      <c r="B50" s="1482">
        <f t="shared" si="1"/>
        <v>0.97118143765706444</v>
      </c>
      <c r="C50" s="1482">
        <f t="shared" si="1"/>
        <v>0.99778340263966736</v>
      </c>
      <c r="D50" s="1482">
        <f t="shared" si="1"/>
        <v>0.9975654159620424</v>
      </c>
      <c r="E50" s="1482">
        <f t="shared" si="1"/>
        <v>0.99717181899641572</v>
      </c>
      <c r="F50" s="130"/>
      <c r="G50" s="130"/>
      <c r="H50" s="1486">
        <v>2000</v>
      </c>
      <c r="I50" s="1486"/>
      <c r="J50" s="1485">
        <v>100</v>
      </c>
      <c r="K50" s="1485">
        <v>100</v>
      </c>
      <c r="L50" s="1485">
        <v>100</v>
      </c>
      <c r="M50" s="1485">
        <v>100</v>
      </c>
      <c r="N50" s="1485">
        <v>100</v>
      </c>
      <c r="O50" s="1485">
        <v>100</v>
      </c>
      <c r="P50" s="1485">
        <v>100</v>
      </c>
      <c r="Q50" s="1499">
        <v>100</v>
      </c>
      <c r="R50" s="1485"/>
      <c r="S50" s="1485"/>
    </row>
    <row r="51" spans="1:19" ht="31.5">
      <c r="A51" s="1474" t="s">
        <v>1727</v>
      </c>
      <c r="B51" s="1482">
        <f t="shared" si="1"/>
        <v>-5.4021338232730504E-2</v>
      </c>
      <c r="C51" s="1482">
        <f t="shared" si="1"/>
        <v>-5.4209003796781778E-2</v>
      </c>
      <c r="D51" s="1482">
        <f t="shared" si="1"/>
        <v>-5.3944208693805007E-2</v>
      </c>
      <c r="E51" s="1482">
        <f t="shared" si="1"/>
        <v>-5.7921706989247312E-2</v>
      </c>
      <c r="F51" s="130"/>
      <c r="G51" s="130"/>
      <c r="H51" s="130"/>
      <c r="I51" s="130"/>
    </row>
    <row r="52" spans="1:19" ht="15.75">
      <c r="A52" s="1479" t="s">
        <v>1728</v>
      </c>
      <c r="B52" s="1482">
        <f t="shared" si="1"/>
        <v>8.2839900575666106E-2</v>
      </c>
      <c r="C52" s="1482">
        <f t="shared" si="1"/>
        <v>5.6425601157114445E-2</v>
      </c>
      <c r="D52" s="1482">
        <f t="shared" si="1"/>
        <v>5.6378792731762606E-2</v>
      </c>
      <c r="E52" s="1482">
        <f t="shared" si="1"/>
        <v>6.0749887992831542E-2</v>
      </c>
      <c r="F52" s="130"/>
      <c r="G52" s="130"/>
      <c r="H52" s="130"/>
      <c r="I52" s="130"/>
    </row>
    <row r="53" spans="1:19" ht="15.75">
      <c r="A53" s="1479" t="s">
        <v>1729</v>
      </c>
      <c r="B53" s="1482">
        <f t="shared" si="1"/>
        <v>1</v>
      </c>
      <c r="C53" s="1482">
        <f t="shared" si="1"/>
        <v>1</v>
      </c>
      <c r="D53" s="1482">
        <f t="shared" si="1"/>
        <v>1</v>
      </c>
      <c r="E53" s="1482">
        <f t="shared" si="1"/>
        <v>1</v>
      </c>
      <c r="F53" s="130"/>
      <c r="G53" s="130"/>
      <c r="H53" s="130"/>
      <c r="I53" s="130"/>
    </row>
  </sheetData>
  <mergeCells count="9">
    <mergeCell ref="N33:N35"/>
    <mergeCell ref="O33:O35"/>
    <mergeCell ref="Q33:Q35"/>
    <mergeCell ref="S33:S35"/>
    <mergeCell ref="H33:I35"/>
    <mergeCell ref="J33:J35"/>
    <mergeCell ref="K33:K35"/>
    <mergeCell ref="L33:L35"/>
    <mergeCell ref="M33:M35"/>
  </mergeCells>
  <pageMargins left="0.75" right="0.75" top="1" bottom="1" header="0.5" footer="0.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90"/>
  </sheetPr>
  <dimension ref="A1:L28"/>
  <sheetViews>
    <sheetView workbookViewId="0">
      <selection sqref="A1:E1"/>
    </sheetView>
  </sheetViews>
  <sheetFormatPr defaultColWidth="10.85546875" defaultRowHeight="15"/>
  <cols>
    <col min="1" max="1" width="10.85546875" style="443"/>
    <col min="2" max="2" width="29" style="443" customWidth="1"/>
    <col min="3" max="3" width="39.140625" style="443" customWidth="1"/>
    <col min="4" max="4" width="10.85546875" style="443"/>
    <col min="5" max="5" width="15.7109375" style="443" customWidth="1"/>
    <col min="6" max="16384" width="10.85546875" style="443"/>
  </cols>
  <sheetData>
    <row r="1" spans="1:12" ht="45" customHeight="1">
      <c r="A1" s="1668" t="s">
        <v>1105</v>
      </c>
      <c r="B1" s="1668"/>
      <c r="C1" s="1668"/>
      <c r="D1" s="1668"/>
      <c r="E1" s="1668"/>
      <c r="F1" s="1146"/>
    </row>
    <row r="3" spans="1:12" ht="15.75" thickBot="1"/>
    <row r="4" spans="1:12" ht="48.75" customHeight="1" thickBot="1">
      <c r="A4" s="463"/>
      <c r="B4" s="458" t="s">
        <v>1118</v>
      </c>
      <c r="C4" s="454" t="s">
        <v>1051</v>
      </c>
      <c r="D4" s="452" t="s">
        <v>1102</v>
      </c>
      <c r="E4" s="453" t="s">
        <v>1112</v>
      </c>
      <c r="F4" s="442"/>
    </row>
    <row r="5" spans="1:12">
      <c r="A5" s="464" t="s">
        <v>1108</v>
      </c>
      <c r="B5" s="459" t="s">
        <v>1127</v>
      </c>
      <c r="C5" s="455"/>
      <c r="D5" s="450">
        <f>+E5</f>
        <v>299864.04213999998</v>
      </c>
      <c r="E5" s="451">
        <f>+GDP!B6</f>
        <v>299864.04213999998</v>
      </c>
      <c r="G5" s="399"/>
    </row>
    <row r="6" spans="1:12" ht="105">
      <c r="A6" s="462"/>
      <c r="B6" s="460" t="s">
        <v>1128</v>
      </c>
      <c r="C6" s="456" t="s">
        <v>1106</v>
      </c>
      <c r="D6" s="445"/>
      <c r="E6" s="447">
        <f>-('DoF Personnel &amp; OC'!F62/2)/1000</f>
        <v>-50802.612999999998</v>
      </c>
      <c r="I6" s="475"/>
      <c r="J6" s="475"/>
      <c r="K6" s="475"/>
      <c r="L6" s="475"/>
    </row>
    <row r="7" spans="1:12" ht="31.5">
      <c r="A7" s="462"/>
      <c r="B7" s="460" t="s">
        <v>1117</v>
      </c>
      <c r="C7" s="456"/>
      <c r="D7" s="445"/>
      <c r="E7" s="447">
        <f>+E5+E6-E9</f>
        <v>-271123.36686000001</v>
      </c>
      <c r="I7" s="475"/>
      <c r="J7" s="475"/>
      <c r="K7" s="475"/>
      <c r="L7" s="475"/>
    </row>
    <row r="8" spans="1:12">
      <c r="A8" s="462"/>
      <c r="B8" s="461" t="s">
        <v>1110</v>
      </c>
      <c r="C8" s="456"/>
      <c r="D8" s="446">
        <f>+D5-D6+D7</f>
        <v>299864.04213999998</v>
      </c>
      <c r="E8" s="447">
        <f>+E5+E6+E7</f>
        <v>-22061.937720000045</v>
      </c>
      <c r="G8" s="399"/>
    </row>
    <row r="9" spans="1:12">
      <c r="A9" s="462"/>
      <c r="B9" s="460" t="s">
        <v>1107</v>
      </c>
      <c r="C9" s="456"/>
      <c r="D9" s="445"/>
      <c r="E9" s="447">
        <f>+Livelihoods!D67/1000</f>
        <v>520184.79599999997</v>
      </c>
    </row>
    <row r="10" spans="1:12" ht="75.75" thickBot="1">
      <c r="A10" s="462"/>
      <c r="B10" s="474" t="s">
        <v>1111</v>
      </c>
      <c r="C10" s="457" t="s">
        <v>1115</v>
      </c>
      <c r="D10" s="448">
        <f>+D8-D9</f>
        <v>299864.04213999998</v>
      </c>
      <c r="E10" s="449">
        <f>+E8-E9</f>
        <v>-542246.73372000002</v>
      </c>
    </row>
    <row r="11" spans="1:12" ht="30">
      <c r="A11" s="467" t="s">
        <v>1109</v>
      </c>
      <c r="B11" s="459" t="s">
        <v>1103</v>
      </c>
      <c r="C11" s="455"/>
      <c r="D11" s="450">
        <f>+D10</f>
        <v>299864.04213999998</v>
      </c>
      <c r="E11" s="451">
        <f>+E7</f>
        <v>-271123.36686000001</v>
      </c>
    </row>
    <row r="12" spans="1:12">
      <c r="A12" s="462"/>
      <c r="B12" s="460"/>
      <c r="C12" s="456"/>
      <c r="D12" s="445"/>
      <c r="E12" s="447"/>
    </row>
    <row r="13" spans="1:12" ht="30">
      <c r="A13" s="462"/>
      <c r="B13" s="461" t="s">
        <v>1116</v>
      </c>
      <c r="C13" s="456"/>
      <c r="D13" s="445"/>
      <c r="E13" s="447"/>
    </row>
    <row r="14" spans="1:12" ht="19.5" customHeight="1">
      <c r="A14" s="462"/>
      <c r="B14" s="460" t="s">
        <v>1113</v>
      </c>
      <c r="C14" s="456"/>
      <c r="D14" s="446">
        <f>+E9</f>
        <v>520184.79599999997</v>
      </c>
      <c r="E14" s="447"/>
    </row>
    <row r="15" spans="1:12" ht="30">
      <c r="A15" s="462"/>
      <c r="B15" s="460" t="s">
        <v>1129</v>
      </c>
      <c r="C15" s="456" t="s">
        <v>1132</v>
      </c>
      <c r="D15" s="446">
        <f>+E15</f>
        <v>514516.32</v>
      </c>
      <c r="E15" s="447">
        <f>+(Livelihoods!D68-Livelihoods!D67)/1000</f>
        <v>514516.32</v>
      </c>
    </row>
    <row r="16" spans="1:12" ht="75">
      <c r="A16" s="462"/>
      <c r="B16" s="460" t="s">
        <v>1130</v>
      </c>
      <c r="C16" s="456" t="s">
        <v>1131</v>
      </c>
      <c r="D16" s="446">
        <f>-'DoF Personnel &amp; OC'!F62/1000</f>
        <v>-101605.226</v>
      </c>
      <c r="E16" s="447">
        <f>+D16/2</f>
        <v>-50802.612999999998</v>
      </c>
    </row>
    <row r="17" spans="1:9" ht="128.25" customHeight="1">
      <c r="A17" s="462"/>
      <c r="B17" s="460" t="s">
        <v>1133</v>
      </c>
      <c r="C17" s="456" t="s">
        <v>1134</v>
      </c>
      <c r="D17" s="446">
        <f>-D11</f>
        <v>-299864.04213999998</v>
      </c>
      <c r="E17" s="447">
        <f>-E11</f>
        <v>271123.36686000001</v>
      </c>
    </row>
    <row r="18" spans="1:9" ht="45.75" thickBot="1">
      <c r="A18" s="462"/>
      <c r="B18" s="473" t="s">
        <v>1114</v>
      </c>
      <c r="C18" s="465"/>
      <c r="D18" s="466">
        <f>+SUM(D14:D17)</f>
        <v>633231.84785999986</v>
      </c>
      <c r="E18" s="468">
        <f>+SUM(E14:E17)</f>
        <v>734837.07386</v>
      </c>
      <c r="G18" s="399"/>
    </row>
    <row r="19" spans="1:9" ht="30.75" thickBot="1">
      <c r="A19" s="472" t="s">
        <v>1119</v>
      </c>
      <c r="B19" s="472" t="s">
        <v>1104</v>
      </c>
      <c r="C19" s="469"/>
      <c r="D19" s="470">
        <f>+D18+D8</f>
        <v>933095.8899999999</v>
      </c>
      <c r="E19" s="471">
        <f>+E18+E8</f>
        <v>712775.13613999996</v>
      </c>
      <c r="G19" s="399"/>
      <c r="I19" s="399"/>
    </row>
    <row r="20" spans="1:9">
      <c r="E20" s="399"/>
    </row>
    <row r="21" spans="1:9">
      <c r="B21"/>
      <c r="C21"/>
      <c r="E21" s="399"/>
    </row>
    <row r="22" spans="1:9">
      <c r="B22"/>
      <c r="C22"/>
      <c r="E22" s="399"/>
    </row>
    <row r="23" spans="1:9">
      <c r="B23"/>
      <c r="C23"/>
    </row>
    <row r="24" spans="1:9">
      <c r="B24"/>
      <c r="C24"/>
    </row>
    <row r="25" spans="1:9">
      <c r="B25"/>
      <c r="C25"/>
    </row>
    <row r="26" spans="1:9">
      <c r="B26"/>
      <c r="C26"/>
    </row>
    <row r="27" spans="1:9">
      <c r="B27"/>
      <c r="C27"/>
    </row>
    <row r="28" spans="1:9">
      <c r="B28"/>
      <c r="C28"/>
    </row>
  </sheetData>
  <mergeCells count="1">
    <mergeCell ref="A1:E1"/>
  </mergeCells>
  <pageMargins left="0.75" right="0.75" top="1" bottom="1" header="0.5" footer="0.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BCBD45"/>
  </sheetPr>
  <dimension ref="A1:I26"/>
  <sheetViews>
    <sheetView workbookViewId="0"/>
  </sheetViews>
  <sheetFormatPr defaultColWidth="10.85546875" defaultRowHeight="15"/>
  <cols>
    <col min="1" max="1" width="32.42578125" style="130" customWidth="1"/>
    <col min="2" max="2" width="14" style="130" bestFit="1" customWidth="1"/>
    <col min="3" max="3" width="27.42578125" style="130" customWidth="1"/>
    <col min="4" max="4" width="10.85546875" style="130"/>
    <col min="5" max="5" width="16.28515625" style="130" customWidth="1"/>
    <col min="6" max="16384" width="10.85546875" style="130"/>
  </cols>
  <sheetData>
    <row r="1" spans="1:9" ht="24.75">
      <c r="A1" s="1272" t="s">
        <v>1647</v>
      </c>
      <c r="B1" s="1273"/>
    </row>
    <row r="3" spans="1:9" ht="15.75" thickBot="1">
      <c r="A3" s="130" t="s">
        <v>1801</v>
      </c>
    </row>
    <row r="4" spans="1:9" ht="15.75" thickBot="1">
      <c r="A4" s="38" t="s">
        <v>1049</v>
      </c>
      <c r="B4" s="433" t="s">
        <v>1050</v>
      </c>
      <c r="C4" s="438" t="s">
        <v>1051</v>
      </c>
    </row>
    <row r="5" spans="1:9">
      <c r="A5" s="429" t="s">
        <v>971</v>
      </c>
      <c r="B5" s="434">
        <f>+'DoF Revenue 2010-2011'!O7</f>
        <v>86020</v>
      </c>
      <c r="C5" s="439"/>
    </row>
    <row r="6" spans="1:9">
      <c r="A6" s="430" t="s">
        <v>970</v>
      </c>
      <c r="B6" s="435"/>
      <c r="C6" s="476"/>
    </row>
    <row r="7" spans="1:9">
      <c r="A7" s="430" t="s">
        <v>969</v>
      </c>
      <c r="B7" s="435">
        <f>+'DoF Revenue 2010-2011'!O25+'DoF Revenue 2010-2011'!O50+'DoF Revenue 2010-2011'!O61</f>
        <v>345800</v>
      </c>
      <c r="C7" s="476"/>
    </row>
    <row r="8" spans="1:9" ht="75">
      <c r="A8" s="430" t="s">
        <v>968</v>
      </c>
      <c r="B8" s="435">
        <f>+'DoF Revenue 2010-2011'!O18+'DoF Revenue 2010-2011'!O26+'DoF Revenue 2010-2011'!O37+'DoF Revenue 2010-2011'!O51+'DoF Revenue 2010-2011'!O62</f>
        <v>24308566.48</v>
      </c>
      <c r="C8" s="477" t="s">
        <v>1121</v>
      </c>
      <c r="D8" s="335"/>
      <c r="E8" s="1270"/>
      <c r="F8" s="1270"/>
      <c r="G8" s="1270"/>
      <c r="H8" s="1270"/>
      <c r="I8" s="1270"/>
    </row>
    <row r="9" spans="1:9">
      <c r="A9" s="430" t="s">
        <v>967</v>
      </c>
      <c r="B9" s="435">
        <f>+'DoF Revenue 2010-2011'!O10</f>
        <v>1693987.5</v>
      </c>
      <c r="C9" s="478"/>
    </row>
    <row r="10" spans="1:9">
      <c r="A10" s="430" t="s">
        <v>966</v>
      </c>
      <c r="B10" s="435"/>
      <c r="C10" s="478"/>
    </row>
    <row r="11" spans="1:9" ht="45">
      <c r="A11" s="430" t="s">
        <v>922</v>
      </c>
      <c r="B11" s="435">
        <f>+'DoF Revenue 2010-2011'!O20+'DoF Revenue 2010-2011'!O27+'DoF Revenue 2010-2011'!O38+'DoF Revenue 2010-2011'!O52+'DoF Revenue 2010-2011'!O63</f>
        <v>201414084.00000003</v>
      </c>
      <c r="C11" s="477" t="s">
        <v>1126</v>
      </c>
    </row>
    <row r="12" spans="1:9">
      <c r="A12" s="430" t="s">
        <v>965</v>
      </c>
      <c r="B12" s="435">
        <f>+'DoF Revenue 2010-2011'!O44</f>
        <v>13500</v>
      </c>
      <c r="C12" s="478"/>
    </row>
    <row r="13" spans="1:9" ht="45">
      <c r="A13" s="430" t="s">
        <v>899</v>
      </c>
      <c r="B13" s="435">
        <f>+'DoF Revenue 2010-2011'!O13+'DoF Revenue 2010-2011'!O45+'DoF Revenue 2010-2011'!O57</f>
        <v>655990</v>
      </c>
      <c r="C13" s="477" t="s">
        <v>1124</v>
      </c>
    </row>
    <row r="14" spans="1:9" ht="90">
      <c r="A14" s="430" t="s">
        <v>890</v>
      </c>
      <c r="B14" s="435">
        <f>+'DoF Revenue 2010-2011'!O5+'DoF Revenue 2010-2011'!O19+'DoF Revenue 2010-2011'!O30+'DoF Revenue 2010-2011'!O40+'DoF Revenue 2010-2011'!O66</f>
        <v>27158276.460000001</v>
      </c>
      <c r="C14" s="477" t="s">
        <v>1122</v>
      </c>
    </row>
    <row r="15" spans="1:9" ht="60">
      <c r="A15" s="430" t="s">
        <v>964</v>
      </c>
      <c r="B15" s="435">
        <f>+'DoF Revenue 2010-2011'!O6+'DoF Revenue 2010-2011'!O28</f>
        <v>0</v>
      </c>
      <c r="C15" s="477" t="s">
        <v>1120</v>
      </c>
    </row>
    <row r="16" spans="1:9" ht="32.25" customHeight="1">
      <c r="A16" s="430" t="s">
        <v>896</v>
      </c>
      <c r="B16" s="435">
        <f>+'DoF Revenue 2010-2011'!O59</f>
        <v>74141391.659999996</v>
      </c>
      <c r="C16" s="477" t="s">
        <v>1123</v>
      </c>
    </row>
    <row r="17" spans="1:5">
      <c r="A17" s="430" t="s">
        <v>928</v>
      </c>
      <c r="B17" s="435">
        <f>+'DoF Revenue 2010-2011'!O16+'DoF Revenue 2010-2011'!O35+'DoF Revenue 2010-2011'!O65</f>
        <v>192515</v>
      </c>
      <c r="C17" s="478"/>
    </row>
    <row r="18" spans="1:5" ht="60">
      <c r="A18" s="430" t="s">
        <v>963</v>
      </c>
      <c r="B18" s="435">
        <f>+'DoF Revenue 2010-2011'!O17+'DoF Revenue 2010-2011'!O24+'DoF Revenue 2010-2011'!O36+'DoF Revenue 2010-2011'!O60</f>
        <v>32264199.670000002</v>
      </c>
      <c r="C18" s="477" t="s">
        <v>1125</v>
      </c>
      <c r="D18"/>
    </row>
    <row r="19" spans="1:5">
      <c r="A19" s="430" t="s">
        <v>912</v>
      </c>
      <c r="B19" s="435">
        <f>+'DoF Revenue 2010-2011'!O14+'DoF Revenue 2010-2011'!O34+'DoF Revenue 2010-2011'!O46+'DoF Revenue 2010-2011'!O58</f>
        <v>2458538</v>
      </c>
      <c r="C19" s="476"/>
      <c r="D19" s="266"/>
    </row>
    <row r="20" spans="1:5">
      <c r="A20" s="430" t="s">
        <v>962</v>
      </c>
      <c r="B20" s="435"/>
      <c r="C20" s="476"/>
    </row>
    <row r="21" spans="1:5">
      <c r="A21" s="430" t="s">
        <v>961</v>
      </c>
      <c r="B21" s="435">
        <f>+'DoF Revenue 2010-2011'!O49</f>
        <v>0</v>
      </c>
      <c r="C21" s="476"/>
    </row>
    <row r="22" spans="1:5">
      <c r="A22" s="430" t="s">
        <v>960</v>
      </c>
      <c r="B22" s="435"/>
      <c r="C22" s="476"/>
    </row>
    <row r="23" spans="1:5">
      <c r="A23" s="430" t="s">
        <v>959</v>
      </c>
      <c r="B23" s="435"/>
      <c r="C23" s="476"/>
      <c r="E23" s="427"/>
    </row>
    <row r="24" spans="1:5">
      <c r="A24" s="430" t="s">
        <v>958</v>
      </c>
      <c r="B24" s="435"/>
      <c r="C24" s="476"/>
    </row>
    <row r="25" spans="1:5" ht="15.75" thickBot="1">
      <c r="A25" s="431" t="s">
        <v>957</v>
      </c>
      <c r="B25" s="436">
        <f>+'DoF Revenue 2010-2011'!O21+'DoF Revenue 2010-2011'!O29+'DoF Revenue 2010-2011'!O39+'DoF Revenue 2010-2011'!O53+'DoF Revenue 2010-2011'!O64</f>
        <v>8058225.5</v>
      </c>
      <c r="C25" s="479"/>
    </row>
    <row r="26" spans="1:5" ht="15.75" thickBot="1">
      <c r="A26" s="432" t="s">
        <v>956</v>
      </c>
      <c r="B26" s="437">
        <f>+SUM(B5:B25)</f>
        <v>372791094.27000004</v>
      </c>
      <c r="C26" s="480"/>
    </row>
  </sheetData>
  <pageMargins left="0.75" right="0.75" top="1" bottom="1" header="0.5" footer="0.5"/>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BCBD45"/>
  </sheetPr>
  <dimension ref="A1:V76"/>
  <sheetViews>
    <sheetView workbookViewId="0">
      <pane xSplit="2" ySplit="3" topLeftCell="C4" activePane="bottomRight" state="frozen"/>
      <selection pane="topRight" activeCell="C1" sqref="C1"/>
      <selection pane="bottomLeft" activeCell="A4" sqref="A4"/>
      <selection pane="bottomRight"/>
    </sheetView>
  </sheetViews>
  <sheetFormatPr defaultColWidth="8.85546875" defaultRowHeight="15"/>
  <cols>
    <col min="1" max="1" width="9" customWidth="1"/>
    <col min="2" max="2" width="18.7109375" customWidth="1"/>
    <col min="3" max="4" width="12.140625" customWidth="1"/>
    <col min="5" max="5" width="13.140625" customWidth="1"/>
    <col min="6" max="7" width="12.140625" customWidth="1"/>
    <col min="8" max="8" width="14" customWidth="1"/>
    <col min="9" max="10" width="12.140625" customWidth="1"/>
    <col min="11" max="11" width="13.140625" customWidth="1"/>
    <col min="12" max="13" width="12.140625" customWidth="1"/>
    <col min="14" max="14" width="13.140625" customWidth="1"/>
    <col min="15" max="15" width="13" customWidth="1"/>
    <col min="17" max="17" width="10.42578125" bestFit="1" customWidth="1"/>
    <col min="18" max="18" width="14" bestFit="1" customWidth="1"/>
  </cols>
  <sheetData>
    <row r="1" spans="1:22" ht="24.75">
      <c r="A1" s="1274" t="s">
        <v>880</v>
      </c>
      <c r="B1" s="1274"/>
      <c r="C1" s="1274"/>
      <c r="D1" s="1274"/>
      <c r="E1" s="1276"/>
      <c r="F1" s="398"/>
      <c r="G1" s="398"/>
      <c r="H1" s="398"/>
      <c r="I1" s="398"/>
      <c r="J1" s="398"/>
      <c r="K1" s="398"/>
      <c r="L1" s="398"/>
      <c r="M1" s="398"/>
      <c r="N1" s="396"/>
    </row>
    <row r="2" spans="1:22" ht="24.75">
      <c r="A2" s="1275" t="s">
        <v>1930</v>
      </c>
      <c r="B2" s="1275"/>
      <c r="C2" s="1275"/>
      <c r="D2" s="1275"/>
      <c r="E2" s="1277"/>
      <c r="F2" s="397"/>
      <c r="G2" s="397"/>
      <c r="H2" s="397"/>
      <c r="I2" s="397"/>
      <c r="J2" s="397"/>
      <c r="K2" s="397"/>
      <c r="L2" s="397"/>
      <c r="M2" s="397"/>
      <c r="N2" s="396"/>
    </row>
    <row r="3" spans="1:22">
      <c r="A3" s="1590" t="s">
        <v>955</v>
      </c>
      <c r="B3" s="1590" t="s">
        <v>954</v>
      </c>
      <c r="C3" s="1590" t="s">
        <v>953</v>
      </c>
      <c r="D3" s="1590" t="s">
        <v>952</v>
      </c>
      <c r="E3" s="1590" t="s">
        <v>951</v>
      </c>
      <c r="F3" s="1591" t="s">
        <v>950</v>
      </c>
      <c r="G3" s="1590" t="s">
        <v>949</v>
      </c>
      <c r="H3" s="1590" t="s">
        <v>948</v>
      </c>
      <c r="I3" s="1590" t="s">
        <v>947</v>
      </c>
      <c r="J3" s="1591" t="s">
        <v>946</v>
      </c>
      <c r="K3" s="1591" t="s">
        <v>945</v>
      </c>
      <c r="L3" s="1591" t="s">
        <v>944</v>
      </c>
      <c r="M3" s="1591" t="s">
        <v>943</v>
      </c>
      <c r="N3" s="1592" t="s">
        <v>942</v>
      </c>
      <c r="O3" s="1592" t="s">
        <v>18</v>
      </c>
    </row>
    <row r="4" spans="1:22">
      <c r="A4" s="1593"/>
      <c r="B4" s="1593"/>
      <c r="C4" s="1593"/>
      <c r="D4" s="1593"/>
      <c r="E4" s="1593"/>
      <c r="F4" s="1592"/>
      <c r="G4" s="1593"/>
      <c r="H4" s="1593"/>
      <c r="I4" s="1593"/>
      <c r="J4" s="1592"/>
      <c r="K4" s="1592"/>
      <c r="L4" s="1592"/>
      <c r="M4" s="1592"/>
      <c r="N4" s="1592"/>
      <c r="O4" s="1594"/>
    </row>
    <row r="5" spans="1:22">
      <c r="A5" s="1595" t="s">
        <v>941</v>
      </c>
      <c r="B5" s="1595" t="s">
        <v>890</v>
      </c>
      <c r="C5" s="1595" t="s">
        <v>104</v>
      </c>
      <c r="D5" s="1595">
        <v>7500</v>
      </c>
      <c r="E5" s="1595">
        <v>17000</v>
      </c>
      <c r="F5" s="1595">
        <v>442825.32</v>
      </c>
      <c r="G5" s="1595">
        <v>157000</v>
      </c>
      <c r="H5" s="1595">
        <v>95000</v>
      </c>
      <c r="I5" s="1595">
        <v>72000</v>
      </c>
      <c r="J5" s="1595">
        <v>67000</v>
      </c>
      <c r="K5" s="1595">
        <v>74000</v>
      </c>
      <c r="L5" s="1595">
        <v>1308100</v>
      </c>
      <c r="M5" s="1595">
        <v>75000</v>
      </c>
      <c r="N5" s="1595">
        <v>0</v>
      </c>
      <c r="O5" s="1596">
        <f>SUM(C5:N5)</f>
        <v>2315425.3200000003</v>
      </c>
      <c r="Q5" t="s">
        <v>940</v>
      </c>
    </row>
    <row r="6" spans="1:22">
      <c r="A6" s="1595"/>
      <c r="B6" s="1595" t="s">
        <v>939</v>
      </c>
      <c r="C6" s="1595">
        <v>0</v>
      </c>
      <c r="D6" s="1595">
        <v>0</v>
      </c>
      <c r="E6" s="1595">
        <v>0</v>
      </c>
      <c r="F6" s="1595">
        <v>0</v>
      </c>
      <c r="G6" s="1595">
        <v>0</v>
      </c>
      <c r="H6" s="1595">
        <v>0</v>
      </c>
      <c r="I6" s="1595">
        <v>0</v>
      </c>
      <c r="J6" s="1595"/>
      <c r="K6" s="1595"/>
      <c r="L6" s="1595"/>
      <c r="M6" s="1595"/>
      <c r="N6" s="1595"/>
      <c r="O6" s="1597">
        <f>SUM(C6:N6)</f>
        <v>0</v>
      </c>
      <c r="Q6" t="s">
        <v>916</v>
      </c>
      <c r="R6" s="393">
        <f>+O20</f>
        <v>884721.5</v>
      </c>
    </row>
    <row r="7" spans="1:22">
      <c r="A7" s="1595"/>
      <c r="B7" s="1595" t="s">
        <v>938</v>
      </c>
      <c r="C7" s="1595">
        <v>86020</v>
      </c>
      <c r="D7" s="1595">
        <v>0</v>
      </c>
      <c r="E7" s="1595">
        <v>0</v>
      </c>
      <c r="F7" s="1595">
        <v>0</v>
      </c>
      <c r="G7" s="1595">
        <v>0</v>
      </c>
      <c r="H7" s="1595">
        <v>0</v>
      </c>
      <c r="I7" s="1595">
        <v>0</v>
      </c>
      <c r="J7" s="1595"/>
      <c r="K7" s="1595"/>
      <c r="L7" s="1595"/>
      <c r="M7" s="1595"/>
      <c r="N7" s="1595"/>
      <c r="O7" s="1596">
        <f>SUM(C7:N7)</f>
        <v>86020</v>
      </c>
      <c r="Q7" t="s">
        <v>915</v>
      </c>
      <c r="R7" s="393">
        <f>+O27</f>
        <v>1102470</v>
      </c>
    </row>
    <row r="8" spans="1:22">
      <c r="A8" s="1595"/>
      <c r="B8" s="1595" t="s">
        <v>889</v>
      </c>
      <c r="C8" s="1593">
        <f t="shared" ref="C8:N8" si="0">SUM(C5:C7)</f>
        <v>86020</v>
      </c>
      <c r="D8" s="1593">
        <f t="shared" si="0"/>
        <v>7500</v>
      </c>
      <c r="E8" s="1593">
        <f t="shared" si="0"/>
        <v>17000</v>
      </c>
      <c r="F8" s="1593">
        <f t="shared" si="0"/>
        <v>442825.32</v>
      </c>
      <c r="G8" s="1593">
        <f t="shared" si="0"/>
        <v>157000</v>
      </c>
      <c r="H8" s="1593">
        <f t="shared" si="0"/>
        <v>95000</v>
      </c>
      <c r="I8" s="1593">
        <f t="shared" si="0"/>
        <v>72000</v>
      </c>
      <c r="J8" s="1593">
        <f t="shared" si="0"/>
        <v>67000</v>
      </c>
      <c r="K8" s="1593">
        <f t="shared" si="0"/>
        <v>74000</v>
      </c>
      <c r="L8" s="1593">
        <f t="shared" si="0"/>
        <v>1308100</v>
      </c>
      <c r="M8" s="1593">
        <f t="shared" si="0"/>
        <v>75000</v>
      </c>
      <c r="N8" s="1593">
        <f t="shared" si="0"/>
        <v>0</v>
      </c>
      <c r="O8" s="1598">
        <f>SUM(C8:N8)</f>
        <v>2401445.3200000003</v>
      </c>
      <c r="Q8" t="s">
        <v>914</v>
      </c>
      <c r="R8" s="393">
        <f>+O38</f>
        <v>1295838.95</v>
      </c>
    </row>
    <row r="9" spans="1:22">
      <c r="A9" s="1595"/>
      <c r="B9" s="1595"/>
      <c r="C9" s="1595"/>
      <c r="D9" s="1595"/>
      <c r="E9" s="1595"/>
      <c r="F9" s="1595"/>
      <c r="G9" s="1595"/>
      <c r="H9" s="1595"/>
      <c r="I9" s="1595"/>
      <c r="J9" s="1595"/>
      <c r="K9" s="1595"/>
      <c r="L9" s="1595"/>
      <c r="M9" s="1595"/>
      <c r="N9" s="1595"/>
      <c r="O9" s="1594"/>
      <c r="Q9" t="s">
        <v>908</v>
      </c>
      <c r="R9" s="393">
        <f>+O52</f>
        <v>1695122.85</v>
      </c>
      <c r="S9" s="1669" t="s">
        <v>937</v>
      </c>
      <c r="T9" s="1638"/>
      <c r="U9" s="1638"/>
      <c r="V9" s="1638"/>
    </row>
    <row r="10" spans="1:22" ht="18" customHeight="1">
      <c r="A10" s="1595" t="s">
        <v>936</v>
      </c>
      <c r="B10" s="1595" t="s">
        <v>935</v>
      </c>
      <c r="C10" s="1595">
        <v>84850</v>
      </c>
      <c r="D10" s="1595">
        <v>255850</v>
      </c>
      <c r="E10" s="1595">
        <v>148000</v>
      </c>
      <c r="F10" s="1595">
        <v>179825</v>
      </c>
      <c r="G10" s="1595">
        <v>145287.5</v>
      </c>
      <c r="H10" s="1595">
        <v>9900</v>
      </c>
      <c r="I10" s="1595">
        <v>79650</v>
      </c>
      <c r="J10" s="1595">
        <v>56850</v>
      </c>
      <c r="K10" s="1595">
        <v>107850</v>
      </c>
      <c r="L10" s="1595">
        <v>22950</v>
      </c>
      <c r="M10" s="1595">
        <v>90650</v>
      </c>
      <c r="N10" s="1595">
        <v>512325</v>
      </c>
      <c r="O10" s="1596">
        <f>SUM(C10:N10)</f>
        <v>1693987.5</v>
      </c>
      <c r="Q10" t="s">
        <v>911</v>
      </c>
      <c r="R10" s="395">
        <f>+O63</f>
        <v>196435930.70000002</v>
      </c>
      <c r="S10" s="1638"/>
      <c r="T10" s="1638"/>
      <c r="U10" s="1638"/>
      <c r="V10" s="1638"/>
    </row>
    <row r="11" spans="1:22">
      <c r="A11" s="1595"/>
      <c r="B11" s="1595" t="s">
        <v>889</v>
      </c>
      <c r="C11" s="1593">
        <f t="shared" ref="C11:N11" si="1">SUM(C10)</f>
        <v>84850</v>
      </c>
      <c r="D11" s="1593">
        <f t="shared" si="1"/>
        <v>255850</v>
      </c>
      <c r="E11" s="1593">
        <f t="shared" si="1"/>
        <v>148000</v>
      </c>
      <c r="F11" s="1593">
        <f t="shared" si="1"/>
        <v>179825</v>
      </c>
      <c r="G11" s="1593">
        <f t="shared" si="1"/>
        <v>145287.5</v>
      </c>
      <c r="H11" s="1593">
        <f t="shared" si="1"/>
        <v>9900</v>
      </c>
      <c r="I11" s="1593">
        <f t="shared" si="1"/>
        <v>79650</v>
      </c>
      <c r="J11" s="1593">
        <f t="shared" si="1"/>
        <v>56850</v>
      </c>
      <c r="K11" s="1593">
        <f t="shared" si="1"/>
        <v>107850</v>
      </c>
      <c r="L11" s="1593">
        <f t="shared" si="1"/>
        <v>22950</v>
      </c>
      <c r="M11" s="1593">
        <f t="shared" si="1"/>
        <v>90650</v>
      </c>
      <c r="N11" s="1593">
        <f t="shared" si="1"/>
        <v>512325</v>
      </c>
      <c r="O11" s="1598">
        <f>SUM(C11:N11)</f>
        <v>1693987.5</v>
      </c>
      <c r="Q11" t="s">
        <v>33</v>
      </c>
      <c r="R11" s="393">
        <f>+SUM(R6:R10)</f>
        <v>201414084.00000003</v>
      </c>
      <c r="S11" s="1638"/>
      <c r="T11" s="1638"/>
      <c r="U11" s="1638"/>
      <c r="V11" s="1638"/>
    </row>
    <row r="12" spans="1:22">
      <c r="A12" s="1595"/>
      <c r="B12" s="1595"/>
      <c r="C12" s="1595"/>
      <c r="D12" s="1595" t="s">
        <v>934</v>
      </c>
      <c r="E12" s="1595"/>
      <c r="F12" s="1595"/>
      <c r="G12" s="1595"/>
      <c r="H12" s="1595"/>
      <c r="I12" s="1595"/>
      <c r="J12" s="1595"/>
      <c r="K12" s="1595"/>
      <c r="L12" s="1595"/>
      <c r="M12" s="1595"/>
      <c r="N12" s="1595"/>
      <c r="O12" s="1594"/>
    </row>
    <row r="13" spans="1:22">
      <c r="A13" s="1595" t="s">
        <v>933</v>
      </c>
      <c r="B13" s="1595" t="s">
        <v>899</v>
      </c>
      <c r="C13" s="1595">
        <v>0</v>
      </c>
      <c r="D13" s="1595" t="s">
        <v>932</v>
      </c>
      <c r="E13" s="1595">
        <v>6250</v>
      </c>
      <c r="F13" s="1595">
        <v>0</v>
      </c>
      <c r="G13" s="1595"/>
      <c r="H13" s="1595"/>
      <c r="I13" s="1595"/>
      <c r="J13" s="1595"/>
      <c r="K13" s="1595">
        <v>0</v>
      </c>
      <c r="L13" s="1595">
        <v>0</v>
      </c>
      <c r="M13" s="1595">
        <v>0</v>
      </c>
      <c r="N13" s="1595">
        <v>0</v>
      </c>
      <c r="O13" s="1596">
        <f t="shared" ref="O13:O22" si="2">SUM(C13:N13)</f>
        <v>6250</v>
      </c>
      <c r="Q13" t="s">
        <v>931</v>
      </c>
    </row>
    <row r="14" spans="1:22">
      <c r="A14" s="1595"/>
      <c r="B14" s="1595" t="s">
        <v>930</v>
      </c>
      <c r="C14" s="1595">
        <v>0</v>
      </c>
      <c r="D14" s="1595">
        <v>314100</v>
      </c>
      <c r="E14" s="1595">
        <v>138400</v>
      </c>
      <c r="F14" s="1595">
        <v>0</v>
      </c>
      <c r="G14" s="1595" t="s">
        <v>104</v>
      </c>
      <c r="H14" s="1595">
        <v>25300</v>
      </c>
      <c r="I14" s="1595">
        <v>39800</v>
      </c>
      <c r="J14" s="1595">
        <v>5700</v>
      </c>
      <c r="K14" s="1595">
        <v>0</v>
      </c>
      <c r="L14" s="1595">
        <v>0</v>
      </c>
      <c r="M14" s="1595">
        <v>0</v>
      </c>
      <c r="N14" s="1595">
        <v>67900</v>
      </c>
      <c r="O14" s="1596">
        <f t="shared" si="2"/>
        <v>591200</v>
      </c>
      <c r="Q14" t="s">
        <v>916</v>
      </c>
      <c r="R14" s="393">
        <f>+O18</f>
        <v>2769916</v>
      </c>
    </row>
    <row r="15" spans="1:22">
      <c r="A15" s="1595"/>
      <c r="B15" s="1595" t="s">
        <v>929</v>
      </c>
      <c r="C15" s="1595">
        <v>0</v>
      </c>
      <c r="D15" s="1595">
        <v>0</v>
      </c>
      <c r="E15" s="1595"/>
      <c r="F15" s="1595">
        <v>0</v>
      </c>
      <c r="G15" s="1595"/>
      <c r="H15" s="1595"/>
      <c r="I15" s="1595"/>
      <c r="J15" s="1595"/>
      <c r="K15" s="1595">
        <v>0</v>
      </c>
      <c r="L15" s="1595">
        <v>0</v>
      </c>
      <c r="M15" s="1595">
        <v>0</v>
      </c>
      <c r="N15" s="1595">
        <v>0</v>
      </c>
      <c r="O15" s="1597">
        <f t="shared" si="2"/>
        <v>0</v>
      </c>
      <c r="Q15" t="s">
        <v>915</v>
      </c>
      <c r="R15" s="393">
        <f>+O26</f>
        <v>9538016</v>
      </c>
    </row>
    <row r="16" spans="1:22">
      <c r="A16" s="1595"/>
      <c r="B16" s="1595" t="s">
        <v>928</v>
      </c>
      <c r="C16" s="1595">
        <v>0</v>
      </c>
      <c r="D16" s="1595">
        <v>0</v>
      </c>
      <c r="E16" s="1595">
        <v>0</v>
      </c>
      <c r="F16" s="1595">
        <v>0</v>
      </c>
      <c r="G16" s="1595"/>
      <c r="H16" s="1595"/>
      <c r="I16" s="1595">
        <v>28750</v>
      </c>
      <c r="J16" s="1595">
        <v>24500</v>
      </c>
      <c r="K16" s="1595">
        <v>11000</v>
      </c>
      <c r="L16" s="1595">
        <v>0</v>
      </c>
      <c r="M16" s="1595">
        <v>0</v>
      </c>
      <c r="N16" s="1595">
        <v>67500</v>
      </c>
      <c r="O16" s="1596">
        <f t="shared" si="2"/>
        <v>131750</v>
      </c>
      <c r="Q16" t="s">
        <v>914</v>
      </c>
      <c r="R16" s="393">
        <f>+O37</f>
        <v>972353</v>
      </c>
    </row>
    <row r="17" spans="1:18">
      <c r="A17" s="1595"/>
      <c r="B17" s="1595" t="s">
        <v>927</v>
      </c>
      <c r="C17" s="1595">
        <v>28160</v>
      </c>
      <c r="D17" s="1595">
        <v>221000</v>
      </c>
      <c r="E17" s="1595">
        <v>2870954</v>
      </c>
      <c r="F17" s="1595">
        <v>247700</v>
      </c>
      <c r="G17" s="1595"/>
      <c r="H17" s="1595">
        <v>150350</v>
      </c>
      <c r="I17" s="1595">
        <v>139500</v>
      </c>
      <c r="J17" s="1595">
        <v>6314360</v>
      </c>
      <c r="K17" s="1595">
        <v>233670</v>
      </c>
      <c r="L17" s="1595">
        <v>89900</v>
      </c>
      <c r="M17" s="1595">
        <v>163340</v>
      </c>
      <c r="N17" s="1595">
        <v>8324289.6799999997</v>
      </c>
      <c r="O17" s="1596">
        <f t="shared" si="2"/>
        <v>18783223.68</v>
      </c>
      <c r="Q17" t="s">
        <v>908</v>
      </c>
      <c r="R17" s="393">
        <f>+O51</f>
        <v>289477.48</v>
      </c>
    </row>
    <row r="18" spans="1:18">
      <c r="A18" s="1595"/>
      <c r="B18" s="1595" t="s">
        <v>73</v>
      </c>
      <c r="C18" s="1595">
        <v>0</v>
      </c>
      <c r="D18" s="1595">
        <v>152270</v>
      </c>
      <c r="E18" s="1595">
        <v>153640</v>
      </c>
      <c r="F18" s="1595">
        <v>1016150</v>
      </c>
      <c r="G18" s="1595"/>
      <c r="H18" s="1595">
        <v>108026</v>
      </c>
      <c r="I18" s="1595">
        <v>6300</v>
      </c>
      <c r="J18" s="1595">
        <v>97420</v>
      </c>
      <c r="K18" s="1595">
        <v>876650</v>
      </c>
      <c r="L18" s="1595">
        <v>151100</v>
      </c>
      <c r="M18" s="1595">
        <v>58510</v>
      </c>
      <c r="N18" s="1595">
        <v>149850</v>
      </c>
      <c r="O18" s="1596">
        <f t="shared" si="2"/>
        <v>2769916</v>
      </c>
      <c r="Q18" t="s">
        <v>911</v>
      </c>
      <c r="R18" s="393">
        <f>+O62</f>
        <v>10738804</v>
      </c>
    </row>
    <row r="19" spans="1:18">
      <c r="A19" s="1595"/>
      <c r="B19" s="1595" t="s">
        <v>890</v>
      </c>
      <c r="C19" s="1595">
        <v>33000</v>
      </c>
      <c r="D19" s="1595">
        <v>208680</v>
      </c>
      <c r="E19" s="1595">
        <v>121500</v>
      </c>
      <c r="F19" s="1595">
        <v>175625</v>
      </c>
      <c r="G19" s="1595"/>
      <c r="H19" s="1595"/>
      <c r="I19" s="1595">
        <v>235456.14</v>
      </c>
      <c r="J19" s="1595">
        <v>44400</v>
      </c>
      <c r="K19" s="1595">
        <v>65000</v>
      </c>
      <c r="L19" s="1595">
        <v>154950</v>
      </c>
      <c r="M19" s="1595">
        <v>77100</v>
      </c>
      <c r="N19" s="1595">
        <v>446000</v>
      </c>
      <c r="O19" s="1596">
        <f t="shared" si="2"/>
        <v>1561711.1400000001</v>
      </c>
      <c r="Q19" t="s">
        <v>33</v>
      </c>
      <c r="R19" s="393">
        <f>+SUM(R14:R18)</f>
        <v>24308566.48</v>
      </c>
    </row>
    <row r="20" spans="1:18">
      <c r="A20" s="1595"/>
      <c r="B20" s="1595" t="s">
        <v>922</v>
      </c>
      <c r="C20" s="1595">
        <v>230000</v>
      </c>
      <c r="D20" s="1595">
        <v>0</v>
      </c>
      <c r="E20" s="1595">
        <v>16306</v>
      </c>
      <c r="F20" s="1595">
        <v>263000</v>
      </c>
      <c r="G20" s="1595"/>
      <c r="H20" s="1595"/>
      <c r="I20" s="1595">
        <v>141838</v>
      </c>
      <c r="J20" s="1595">
        <v>93500</v>
      </c>
      <c r="K20" s="1595">
        <v>122500</v>
      </c>
      <c r="L20" s="1595">
        <v>0</v>
      </c>
      <c r="M20" s="1595">
        <v>17577.5</v>
      </c>
      <c r="N20" s="1595">
        <v>0</v>
      </c>
      <c r="O20" s="1596">
        <f t="shared" si="2"/>
        <v>884721.5</v>
      </c>
    </row>
    <row r="21" spans="1:18">
      <c r="A21" s="1595"/>
      <c r="B21" s="1595" t="s">
        <v>926</v>
      </c>
      <c r="C21" s="1595">
        <v>148600</v>
      </c>
      <c r="D21" s="1595">
        <v>188100</v>
      </c>
      <c r="E21" s="1595">
        <v>178500</v>
      </c>
      <c r="F21" s="1595">
        <v>58000</v>
      </c>
      <c r="G21" s="1595"/>
      <c r="H21" s="1595">
        <v>390000</v>
      </c>
      <c r="I21" s="1595">
        <v>40570</v>
      </c>
      <c r="J21" s="1595">
        <v>31500</v>
      </c>
      <c r="K21" s="1595">
        <v>88277.5</v>
      </c>
      <c r="L21" s="1595">
        <v>92000</v>
      </c>
      <c r="M21" s="1595">
        <v>54600</v>
      </c>
      <c r="N21" s="1595">
        <v>315400</v>
      </c>
      <c r="O21" s="1596">
        <f t="shared" si="2"/>
        <v>1585547.5</v>
      </c>
      <c r="Q21" t="s">
        <v>925</v>
      </c>
    </row>
    <row r="22" spans="1:18">
      <c r="A22" s="1595"/>
      <c r="B22" s="1595" t="s">
        <v>889</v>
      </c>
      <c r="C22" s="1593">
        <f t="shared" ref="C22:N22" si="3">SUM(C13:C21)</f>
        <v>439760</v>
      </c>
      <c r="D22" s="1593">
        <f t="shared" si="3"/>
        <v>1084150</v>
      </c>
      <c r="E22" s="1593">
        <f t="shared" si="3"/>
        <v>3485550</v>
      </c>
      <c r="F22" s="1593">
        <f t="shared" si="3"/>
        <v>1760475</v>
      </c>
      <c r="G22" s="1593">
        <f t="shared" si="3"/>
        <v>0</v>
      </c>
      <c r="H22" s="1593">
        <f t="shared" si="3"/>
        <v>673676</v>
      </c>
      <c r="I22" s="1593">
        <f t="shared" si="3"/>
        <v>632214.14</v>
      </c>
      <c r="J22" s="1593">
        <f t="shared" si="3"/>
        <v>6611380</v>
      </c>
      <c r="K22" s="1593">
        <f t="shared" si="3"/>
        <v>1397097.5</v>
      </c>
      <c r="L22" s="1593">
        <f t="shared" si="3"/>
        <v>487950</v>
      </c>
      <c r="M22" s="1593">
        <f t="shared" si="3"/>
        <v>371127.5</v>
      </c>
      <c r="N22" s="1593">
        <f t="shared" si="3"/>
        <v>9370939.6799999997</v>
      </c>
      <c r="O22" s="1598">
        <f t="shared" si="2"/>
        <v>26314319.82</v>
      </c>
      <c r="Q22" t="s">
        <v>916</v>
      </c>
      <c r="R22" s="393">
        <f>+O17</f>
        <v>18783223.68</v>
      </c>
    </row>
    <row r="23" spans="1:18">
      <c r="A23" s="1595"/>
      <c r="B23" s="1595"/>
      <c r="C23" s="1595"/>
      <c r="D23" s="1595"/>
      <c r="E23" s="1595"/>
      <c r="F23" s="1595"/>
      <c r="G23" s="1595"/>
      <c r="H23" s="1595"/>
      <c r="I23" s="1595"/>
      <c r="J23" s="1595"/>
      <c r="K23" s="1595"/>
      <c r="L23" s="1595"/>
      <c r="M23" s="1595"/>
      <c r="N23" s="1595"/>
      <c r="O23" s="1594"/>
      <c r="Q23" t="s">
        <v>915</v>
      </c>
      <c r="R23" s="393">
        <f>+O24</f>
        <v>6636934.6400000006</v>
      </c>
    </row>
    <row r="24" spans="1:18">
      <c r="A24" s="1595" t="s">
        <v>924</v>
      </c>
      <c r="B24" s="1595" t="s">
        <v>923</v>
      </c>
      <c r="C24" s="1595">
        <v>372484.64</v>
      </c>
      <c r="D24" s="1595">
        <v>895200</v>
      </c>
      <c r="E24" s="1595">
        <v>902390</v>
      </c>
      <c r="F24" s="1595">
        <v>781450</v>
      </c>
      <c r="G24" s="1595">
        <v>1196400</v>
      </c>
      <c r="H24" s="1595">
        <v>1285110</v>
      </c>
      <c r="I24" s="1595">
        <v>322390</v>
      </c>
      <c r="J24" s="1595">
        <v>375260</v>
      </c>
      <c r="K24" s="1595">
        <v>247240</v>
      </c>
      <c r="L24" s="1595">
        <v>0</v>
      </c>
      <c r="M24" s="1595">
        <v>259010</v>
      </c>
      <c r="N24" s="1595"/>
      <c r="O24" s="1596">
        <f t="shared" ref="O24:O31" si="4">SUM(C24:N24)</f>
        <v>6636934.6400000006</v>
      </c>
      <c r="Q24" t="s">
        <v>914</v>
      </c>
      <c r="R24" s="393">
        <f>+O36</f>
        <v>3354135</v>
      </c>
    </row>
    <row r="25" spans="1:18">
      <c r="A25" s="1595"/>
      <c r="B25" s="1595" t="s">
        <v>901</v>
      </c>
      <c r="C25" s="1595">
        <v>37570</v>
      </c>
      <c r="D25" s="1595">
        <v>2000</v>
      </c>
      <c r="E25" s="1595">
        <v>39275</v>
      </c>
      <c r="F25" s="1595">
        <v>16705</v>
      </c>
      <c r="G25" s="1595">
        <v>6000</v>
      </c>
      <c r="H25" s="1595">
        <v>189200</v>
      </c>
      <c r="I25" s="1595">
        <v>0</v>
      </c>
      <c r="J25" s="1595" t="s">
        <v>919</v>
      </c>
      <c r="K25" s="1595">
        <v>2000</v>
      </c>
      <c r="L25" s="1595">
        <v>0</v>
      </c>
      <c r="M25" s="1595"/>
      <c r="N25" s="1595"/>
      <c r="O25" s="1596">
        <f t="shared" si="4"/>
        <v>292750</v>
      </c>
      <c r="Q25" t="s">
        <v>908</v>
      </c>
    </row>
    <row r="26" spans="1:18">
      <c r="A26" s="1595"/>
      <c r="B26" s="1595" t="s">
        <v>73</v>
      </c>
      <c r="C26" s="1595">
        <v>866615</v>
      </c>
      <c r="D26" s="1595">
        <v>1460280</v>
      </c>
      <c r="E26" s="1595">
        <v>1581620</v>
      </c>
      <c r="F26" s="1595">
        <v>1878400</v>
      </c>
      <c r="G26" s="1595">
        <v>845420</v>
      </c>
      <c r="H26" s="1595">
        <v>541031</v>
      </c>
      <c r="I26" s="1595" t="s">
        <v>104</v>
      </c>
      <c r="J26" s="1595">
        <v>377010</v>
      </c>
      <c r="K26" s="1595">
        <v>559500</v>
      </c>
      <c r="L26" s="1595">
        <v>663850</v>
      </c>
      <c r="M26" s="1595">
        <v>764290</v>
      </c>
      <c r="N26" s="1595"/>
      <c r="O26" s="1596">
        <f t="shared" si="4"/>
        <v>9538016</v>
      </c>
      <c r="Q26" t="s">
        <v>911</v>
      </c>
      <c r="R26" s="393">
        <f>+O60</f>
        <v>3489906.35</v>
      </c>
    </row>
    <row r="27" spans="1:18">
      <c r="A27" s="1595"/>
      <c r="B27" s="1595" t="s">
        <v>922</v>
      </c>
      <c r="C27" s="1595">
        <v>2400</v>
      </c>
      <c r="D27" s="1595">
        <v>0</v>
      </c>
      <c r="E27" s="1595">
        <v>359000</v>
      </c>
      <c r="F27" s="1595">
        <v>38420</v>
      </c>
      <c r="G27" s="1595">
        <v>400000</v>
      </c>
      <c r="H27" s="1595">
        <v>11900</v>
      </c>
      <c r="I27" s="1595">
        <v>69550</v>
      </c>
      <c r="J27" s="1595">
        <v>200000</v>
      </c>
      <c r="K27" s="1595">
        <v>4800</v>
      </c>
      <c r="L27" s="1595">
        <v>0</v>
      </c>
      <c r="M27" s="1595">
        <v>16400</v>
      </c>
      <c r="N27" s="1595"/>
      <c r="O27" s="1596">
        <f t="shared" si="4"/>
        <v>1102470</v>
      </c>
      <c r="Q27" t="s">
        <v>33</v>
      </c>
      <c r="R27" s="393">
        <f>+SUM(R22:R26)</f>
        <v>32264199.670000002</v>
      </c>
    </row>
    <row r="28" spans="1:18">
      <c r="A28" s="1595"/>
      <c r="B28" s="1595" t="s">
        <v>921</v>
      </c>
      <c r="C28" s="1595">
        <v>0</v>
      </c>
      <c r="D28" s="1595">
        <v>0</v>
      </c>
      <c r="E28" s="1595">
        <v>0</v>
      </c>
      <c r="F28" s="1595">
        <v>0</v>
      </c>
      <c r="G28" s="1595">
        <v>0</v>
      </c>
      <c r="H28" s="1595">
        <v>0</v>
      </c>
      <c r="I28" s="1595">
        <v>0</v>
      </c>
      <c r="J28" s="1595" t="s">
        <v>919</v>
      </c>
      <c r="K28" s="1595">
        <v>0</v>
      </c>
      <c r="L28" s="1595">
        <v>0</v>
      </c>
      <c r="M28" s="1595"/>
      <c r="N28" s="1595"/>
      <c r="O28" s="1597">
        <f t="shared" si="4"/>
        <v>0</v>
      </c>
    </row>
    <row r="29" spans="1:18">
      <c r="A29" s="1595"/>
      <c r="B29" s="1595" t="s">
        <v>920</v>
      </c>
      <c r="C29" s="1595">
        <v>0</v>
      </c>
      <c r="D29" s="1595">
        <v>0</v>
      </c>
      <c r="E29" s="1595">
        <v>0</v>
      </c>
      <c r="F29" s="1595">
        <v>0</v>
      </c>
      <c r="G29" s="1595">
        <v>0</v>
      </c>
      <c r="H29" s="1595">
        <v>0</v>
      </c>
      <c r="I29" s="1595">
        <v>0</v>
      </c>
      <c r="J29" s="1595" t="s">
        <v>919</v>
      </c>
      <c r="K29" s="1595">
        <v>0</v>
      </c>
      <c r="L29" s="1595">
        <v>0</v>
      </c>
      <c r="M29" s="1595"/>
      <c r="N29" s="1595"/>
      <c r="O29" s="1596">
        <f t="shared" si="4"/>
        <v>0</v>
      </c>
      <c r="Q29" t="s">
        <v>918</v>
      </c>
    </row>
    <row r="30" spans="1:18">
      <c r="A30" s="1595"/>
      <c r="B30" s="1595" t="s">
        <v>890</v>
      </c>
      <c r="C30" s="1595">
        <v>39500</v>
      </c>
      <c r="D30" s="1595">
        <v>102000</v>
      </c>
      <c r="E30" s="1595">
        <v>71000</v>
      </c>
      <c r="F30" s="1595">
        <v>113500</v>
      </c>
      <c r="G30" s="1595">
        <v>41000</v>
      </c>
      <c r="H30" s="1595">
        <v>95400</v>
      </c>
      <c r="I30" s="1595">
        <v>123000</v>
      </c>
      <c r="J30" s="1595">
        <v>59000</v>
      </c>
      <c r="K30" s="1595">
        <v>105400</v>
      </c>
      <c r="L30" s="1595">
        <v>78500</v>
      </c>
      <c r="M30" s="1595">
        <v>39000</v>
      </c>
      <c r="N30" s="1595"/>
      <c r="O30" s="1596">
        <f t="shared" si="4"/>
        <v>867300</v>
      </c>
      <c r="Q30" t="s">
        <v>917</v>
      </c>
      <c r="R30" s="393">
        <f>+O5</f>
        <v>2315425.3200000003</v>
      </c>
    </row>
    <row r="31" spans="1:18">
      <c r="A31" s="1595"/>
      <c r="B31" s="1595" t="s">
        <v>889</v>
      </c>
      <c r="C31" s="1593">
        <f t="shared" ref="C31:N31" si="5">SUM(C24:C30)</f>
        <v>1318569.6400000001</v>
      </c>
      <c r="D31" s="1593">
        <f t="shared" si="5"/>
        <v>2459480</v>
      </c>
      <c r="E31" s="1593">
        <f t="shared" si="5"/>
        <v>2953285</v>
      </c>
      <c r="F31" s="1593">
        <f t="shared" si="5"/>
        <v>2828475</v>
      </c>
      <c r="G31" s="1593">
        <f t="shared" si="5"/>
        <v>2488820</v>
      </c>
      <c r="H31" s="1593">
        <f t="shared" si="5"/>
        <v>2122641</v>
      </c>
      <c r="I31" s="1593">
        <f t="shared" si="5"/>
        <v>514940</v>
      </c>
      <c r="J31" s="1593">
        <f t="shared" si="5"/>
        <v>1011270</v>
      </c>
      <c r="K31" s="1593">
        <f t="shared" si="5"/>
        <v>918940</v>
      </c>
      <c r="L31" s="1593">
        <f t="shared" si="5"/>
        <v>742350</v>
      </c>
      <c r="M31" s="1593">
        <f t="shared" si="5"/>
        <v>1078700</v>
      </c>
      <c r="N31" s="1593">
        <f t="shared" si="5"/>
        <v>0</v>
      </c>
      <c r="O31" s="1598">
        <f t="shared" si="4"/>
        <v>18437470.640000001</v>
      </c>
      <c r="Q31" t="s">
        <v>916</v>
      </c>
      <c r="R31" s="393">
        <f>+O19</f>
        <v>1561711.1400000001</v>
      </c>
    </row>
    <row r="32" spans="1:18">
      <c r="A32" s="1595"/>
      <c r="B32" s="1595"/>
      <c r="C32" s="1595"/>
      <c r="D32" s="1595"/>
      <c r="E32" s="1595"/>
      <c r="F32" s="1595"/>
      <c r="G32" s="1595"/>
      <c r="H32" s="1595"/>
      <c r="I32" s="1595"/>
      <c r="J32" s="1595"/>
      <c r="K32" s="1595"/>
      <c r="L32" s="1595"/>
      <c r="M32" s="1595"/>
      <c r="N32" s="1595"/>
      <c r="O32" s="1594"/>
      <c r="Q32" t="s">
        <v>915</v>
      </c>
      <c r="R32" s="393">
        <f>+O30</f>
        <v>867300</v>
      </c>
    </row>
    <row r="33" spans="1:18">
      <c r="A33" s="1595"/>
      <c r="B33" s="1595"/>
      <c r="C33" s="1595"/>
      <c r="D33" s="1595"/>
      <c r="E33" s="1595"/>
      <c r="F33" s="1595"/>
      <c r="G33" s="1595"/>
      <c r="H33" s="1595"/>
      <c r="I33" s="1595"/>
      <c r="J33" s="1595"/>
      <c r="K33" s="1595"/>
      <c r="L33" s="1595"/>
      <c r="M33" s="1595"/>
      <c r="N33" s="1595"/>
      <c r="O33" s="1594"/>
      <c r="Q33" t="s">
        <v>914</v>
      </c>
      <c r="R33" s="393">
        <f>+O40</f>
        <v>402000</v>
      </c>
    </row>
    <row r="34" spans="1:18">
      <c r="A34" s="1595" t="s">
        <v>913</v>
      </c>
      <c r="B34" s="1595" t="s">
        <v>912</v>
      </c>
      <c r="C34" s="1595">
        <v>0</v>
      </c>
      <c r="D34" s="1595">
        <v>0</v>
      </c>
      <c r="E34" s="1595">
        <v>0</v>
      </c>
      <c r="F34" s="1595">
        <v>0</v>
      </c>
      <c r="G34" s="1595"/>
      <c r="H34" s="1595">
        <v>0</v>
      </c>
      <c r="I34" s="1595">
        <v>0</v>
      </c>
      <c r="J34" s="1595">
        <v>0</v>
      </c>
      <c r="K34" s="1595">
        <v>0</v>
      </c>
      <c r="L34" s="1595">
        <v>0</v>
      </c>
      <c r="M34" s="1595">
        <v>0</v>
      </c>
      <c r="N34" s="1595">
        <v>0</v>
      </c>
      <c r="O34" s="1596">
        <f t="shared" ref="O34:O41" si="6">SUM(C34:N34)</f>
        <v>0</v>
      </c>
      <c r="Q34" t="s">
        <v>908</v>
      </c>
    </row>
    <row r="35" spans="1:18">
      <c r="A35" s="1595"/>
      <c r="B35" s="1595" t="s">
        <v>891</v>
      </c>
      <c r="C35" s="1595">
        <v>0</v>
      </c>
      <c r="D35" s="1595">
        <v>0</v>
      </c>
      <c r="E35" s="1595">
        <v>0</v>
      </c>
      <c r="F35" s="1595">
        <v>0</v>
      </c>
      <c r="G35" s="1595"/>
      <c r="H35" s="1595">
        <v>0</v>
      </c>
      <c r="I35" s="1595">
        <v>0</v>
      </c>
      <c r="J35" s="1595">
        <v>0</v>
      </c>
      <c r="K35" s="1595">
        <v>0</v>
      </c>
      <c r="L35" s="1595">
        <v>1050</v>
      </c>
      <c r="M35" s="1595">
        <v>0</v>
      </c>
      <c r="N35" s="1595">
        <v>0</v>
      </c>
      <c r="O35" s="1596">
        <f t="shared" si="6"/>
        <v>1050</v>
      </c>
      <c r="Q35" t="s">
        <v>911</v>
      </c>
      <c r="R35" s="393">
        <f>+O66</f>
        <v>22011840</v>
      </c>
    </row>
    <row r="36" spans="1:18">
      <c r="A36" s="1595"/>
      <c r="B36" s="1595" t="s">
        <v>910</v>
      </c>
      <c r="C36" s="1595">
        <v>279830</v>
      </c>
      <c r="D36" s="1595">
        <v>632170</v>
      </c>
      <c r="E36" s="1595">
        <v>178850</v>
      </c>
      <c r="F36" s="1595">
        <v>540930</v>
      </c>
      <c r="G36" s="1595">
        <v>206100</v>
      </c>
      <c r="H36" s="1595">
        <v>51000</v>
      </c>
      <c r="I36" s="1595">
        <v>566550</v>
      </c>
      <c r="J36" s="1595">
        <v>123800</v>
      </c>
      <c r="K36" s="1595">
        <v>282225</v>
      </c>
      <c r="L36" s="1595">
        <v>148000</v>
      </c>
      <c r="M36" s="1595">
        <v>134500</v>
      </c>
      <c r="N36" s="1595">
        <v>210180</v>
      </c>
      <c r="O36" s="1596">
        <f t="shared" si="6"/>
        <v>3354135</v>
      </c>
      <c r="Q36" t="s">
        <v>33</v>
      </c>
      <c r="R36" s="393">
        <f>+SUM(R30:R35)</f>
        <v>27158276.460000001</v>
      </c>
    </row>
    <row r="37" spans="1:18">
      <c r="A37" s="1595"/>
      <c r="B37" s="1599" t="s">
        <v>73</v>
      </c>
      <c r="C37" s="1595">
        <v>175790</v>
      </c>
      <c r="D37" s="1595">
        <v>61400</v>
      </c>
      <c r="E37" s="1595">
        <v>302050</v>
      </c>
      <c r="F37" s="1595">
        <v>34550</v>
      </c>
      <c r="G37" s="1595">
        <v>110410</v>
      </c>
      <c r="H37" s="1595">
        <v>58400</v>
      </c>
      <c r="I37" s="1595">
        <v>0</v>
      </c>
      <c r="J37" s="1595">
        <v>0</v>
      </c>
      <c r="K37" s="1595">
        <v>82200</v>
      </c>
      <c r="L37" s="1595">
        <v>7000</v>
      </c>
      <c r="M37" s="1595">
        <v>64600</v>
      </c>
      <c r="N37" s="1595">
        <v>75953</v>
      </c>
      <c r="O37" s="1596">
        <f t="shared" si="6"/>
        <v>972353</v>
      </c>
    </row>
    <row r="38" spans="1:18">
      <c r="A38" s="1595"/>
      <c r="B38" s="1599" t="s">
        <v>893</v>
      </c>
      <c r="C38" s="1595">
        <v>4000</v>
      </c>
      <c r="D38" s="1595">
        <v>0</v>
      </c>
      <c r="E38" s="1595">
        <v>8100</v>
      </c>
      <c r="F38" s="1595">
        <v>0</v>
      </c>
      <c r="G38" s="1595">
        <v>0</v>
      </c>
      <c r="H38" s="1595">
        <v>0</v>
      </c>
      <c r="I38" s="1595">
        <v>235508.95</v>
      </c>
      <c r="J38" s="1595">
        <v>624930</v>
      </c>
      <c r="K38" s="1595">
        <v>0</v>
      </c>
      <c r="L38" s="1595">
        <v>37500</v>
      </c>
      <c r="M38" s="1595">
        <v>105800</v>
      </c>
      <c r="N38" s="1595">
        <v>280000</v>
      </c>
      <c r="O38" s="1596">
        <f t="shared" si="6"/>
        <v>1295838.95</v>
      </c>
    </row>
    <row r="39" spans="1:18">
      <c r="A39" s="1595"/>
      <c r="B39" s="1599" t="s">
        <v>892</v>
      </c>
      <c r="C39" s="1595">
        <v>0</v>
      </c>
      <c r="D39" s="1595">
        <v>0</v>
      </c>
      <c r="E39" s="1595">
        <v>0</v>
      </c>
      <c r="F39" s="1595">
        <v>0</v>
      </c>
      <c r="G39" s="1595">
        <v>0</v>
      </c>
      <c r="H39" s="1595">
        <v>0</v>
      </c>
      <c r="I39" s="1595">
        <v>0</v>
      </c>
      <c r="J39" s="1595">
        <v>0</v>
      </c>
      <c r="K39" s="1595">
        <v>0</v>
      </c>
      <c r="L39" s="1595">
        <v>0</v>
      </c>
      <c r="M39" s="1595">
        <v>0</v>
      </c>
      <c r="N39" s="1595">
        <v>0</v>
      </c>
      <c r="O39" s="1596">
        <f t="shared" si="6"/>
        <v>0</v>
      </c>
    </row>
    <row r="40" spans="1:18">
      <c r="A40" s="1595"/>
      <c r="B40" s="1595" t="s">
        <v>909</v>
      </c>
      <c r="C40" s="1595">
        <v>53000</v>
      </c>
      <c r="D40" s="1595">
        <v>9000</v>
      </c>
      <c r="E40" s="1595">
        <v>10000</v>
      </c>
      <c r="F40" s="1595">
        <v>25000</v>
      </c>
      <c r="G40" s="1595">
        <v>0</v>
      </c>
      <c r="H40" s="1595">
        <v>0</v>
      </c>
      <c r="I40" s="1595">
        <v>0</v>
      </c>
      <c r="J40" s="1595">
        <v>57000</v>
      </c>
      <c r="K40" s="1595">
        <v>20000</v>
      </c>
      <c r="L40" s="1595">
        <v>0</v>
      </c>
      <c r="M40" s="1595">
        <v>228000</v>
      </c>
      <c r="N40" s="1595">
        <v>0</v>
      </c>
      <c r="O40" s="1596">
        <f t="shared" si="6"/>
        <v>402000</v>
      </c>
    </row>
    <row r="41" spans="1:18">
      <c r="A41" s="1595"/>
      <c r="B41" s="1595" t="s">
        <v>889</v>
      </c>
      <c r="C41" s="1593">
        <f t="shared" ref="C41:N41" si="7">SUM(C34:C40)</f>
        <v>512620</v>
      </c>
      <c r="D41" s="1593">
        <f t="shared" si="7"/>
        <v>702570</v>
      </c>
      <c r="E41" s="1593">
        <f t="shared" si="7"/>
        <v>499000</v>
      </c>
      <c r="F41" s="1593">
        <f t="shared" si="7"/>
        <v>600480</v>
      </c>
      <c r="G41" s="1593">
        <f t="shared" si="7"/>
        <v>316510</v>
      </c>
      <c r="H41" s="1593">
        <f t="shared" si="7"/>
        <v>109400</v>
      </c>
      <c r="I41" s="1593">
        <f t="shared" si="7"/>
        <v>802058.95</v>
      </c>
      <c r="J41" s="1593">
        <f t="shared" si="7"/>
        <v>805730</v>
      </c>
      <c r="K41" s="1593">
        <f t="shared" si="7"/>
        <v>384425</v>
      </c>
      <c r="L41" s="1593">
        <f t="shared" si="7"/>
        <v>193550</v>
      </c>
      <c r="M41" s="1593">
        <f t="shared" si="7"/>
        <v>532900</v>
      </c>
      <c r="N41" s="1593">
        <f t="shared" si="7"/>
        <v>566133</v>
      </c>
      <c r="O41" s="1598">
        <f t="shared" si="6"/>
        <v>6025376.9500000002</v>
      </c>
    </row>
    <row r="42" spans="1:18">
      <c r="A42" s="1595"/>
      <c r="B42" s="1595"/>
      <c r="C42" s="1595"/>
      <c r="D42" s="1595"/>
      <c r="E42" s="1595"/>
      <c r="F42" s="1595"/>
      <c r="G42" s="1595"/>
      <c r="H42" s="1595"/>
      <c r="I42" s="1595"/>
      <c r="J42" s="1595"/>
      <c r="K42" s="1595"/>
      <c r="L42" s="1595"/>
      <c r="M42" s="1595"/>
      <c r="N42" s="1595"/>
      <c r="O42" s="1594"/>
    </row>
    <row r="43" spans="1:18">
      <c r="A43" s="1595"/>
      <c r="B43" s="1595"/>
      <c r="C43" s="1595"/>
      <c r="D43" s="1595"/>
      <c r="E43" s="1595"/>
      <c r="F43" s="1595"/>
      <c r="G43" s="1595"/>
      <c r="H43" s="1595"/>
      <c r="I43" s="1595"/>
      <c r="J43" s="1595"/>
      <c r="K43" s="1595"/>
      <c r="L43" s="1595"/>
      <c r="M43" s="1595"/>
      <c r="N43" s="1595"/>
      <c r="O43" s="1594"/>
    </row>
    <row r="44" spans="1:18">
      <c r="A44" s="1595" t="s">
        <v>908</v>
      </c>
      <c r="B44" s="1595" t="s">
        <v>907</v>
      </c>
      <c r="C44" s="1595">
        <v>0</v>
      </c>
      <c r="D44" s="1595">
        <v>0</v>
      </c>
      <c r="E44" s="1595"/>
      <c r="F44" s="1595"/>
      <c r="G44" s="1595"/>
      <c r="H44" s="1595" t="s">
        <v>104</v>
      </c>
      <c r="I44" s="1595"/>
      <c r="J44" s="1595"/>
      <c r="K44" s="1595">
        <v>13500</v>
      </c>
      <c r="L44" s="1595"/>
      <c r="M44" s="1595"/>
      <c r="N44" s="1595"/>
      <c r="O44" s="1596">
        <f t="shared" ref="O44:O52" si="8">SUM(C44:N44)</f>
        <v>13500</v>
      </c>
    </row>
    <row r="45" spans="1:18">
      <c r="A45" s="1595"/>
      <c r="B45" s="1595" t="s">
        <v>906</v>
      </c>
      <c r="C45" s="1595">
        <v>0</v>
      </c>
      <c r="D45" s="1595">
        <v>0</v>
      </c>
      <c r="E45" s="1595"/>
      <c r="F45" s="1595"/>
      <c r="G45" s="1595"/>
      <c r="H45" s="1595">
        <v>0</v>
      </c>
      <c r="I45" s="1595"/>
      <c r="J45" s="1595"/>
      <c r="K45" s="1595"/>
      <c r="L45" s="1595"/>
      <c r="M45" s="1595"/>
      <c r="N45" s="1595"/>
      <c r="O45" s="1596">
        <f t="shared" si="8"/>
        <v>0</v>
      </c>
    </row>
    <row r="46" spans="1:18">
      <c r="A46" s="1595"/>
      <c r="B46" s="1595" t="s">
        <v>905</v>
      </c>
      <c r="C46" s="1595">
        <v>660000</v>
      </c>
      <c r="D46" s="1595">
        <v>0</v>
      </c>
      <c r="E46" s="1595">
        <v>67000</v>
      </c>
      <c r="F46" s="1595">
        <v>618338</v>
      </c>
      <c r="G46" s="1595">
        <v>11000</v>
      </c>
      <c r="H46" s="1595">
        <v>79500</v>
      </c>
      <c r="I46" s="1595"/>
      <c r="J46" s="1595"/>
      <c r="K46" s="1595">
        <v>2000</v>
      </c>
      <c r="L46" s="1595">
        <v>47500</v>
      </c>
      <c r="M46" s="1595">
        <v>46750</v>
      </c>
      <c r="N46" s="1595">
        <v>219000</v>
      </c>
      <c r="O46" s="1596">
        <f t="shared" si="8"/>
        <v>1751088</v>
      </c>
    </row>
    <row r="47" spans="1:18">
      <c r="A47" s="1595"/>
      <c r="B47" s="1595" t="s">
        <v>904</v>
      </c>
      <c r="C47" s="1595">
        <v>0</v>
      </c>
      <c r="D47" s="1595">
        <v>0</v>
      </c>
      <c r="E47" s="1595">
        <v>0</v>
      </c>
      <c r="F47" s="1595">
        <v>0</v>
      </c>
      <c r="G47" s="1595">
        <v>0</v>
      </c>
      <c r="H47" s="1595">
        <v>0</v>
      </c>
      <c r="I47" s="1595"/>
      <c r="J47" s="1595"/>
      <c r="K47" s="1595"/>
      <c r="L47" s="1595"/>
      <c r="M47" s="1595"/>
      <c r="N47" s="1595"/>
      <c r="O47" s="1597">
        <f t="shared" si="8"/>
        <v>0</v>
      </c>
    </row>
    <row r="48" spans="1:18">
      <c r="A48" s="1595"/>
      <c r="B48" s="1595" t="s">
        <v>903</v>
      </c>
      <c r="C48" s="1595">
        <v>0</v>
      </c>
      <c r="D48" s="1595">
        <v>0</v>
      </c>
      <c r="E48" s="1595">
        <v>0</v>
      </c>
      <c r="F48" s="1595">
        <v>0</v>
      </c>
      <c r="G48" s="1595">
        <v>0</v>
      </c>
      <c r="H48" s="1595">
        <v>0</v>
      </c>
      <c r="I48" s="1595"/>
      <c r="J48" s="1595"/>
      <c r="K48" s="1595"/>
      <c r="L48" s="1595"/>
      <c r="M48" s="1595"/>
      <c r="N48" s="1595"/>
      <c r="O48" s="1597">
        <f t="shared" si="8"/>
        <v>0</v>
      </c>
    </row>
    <row r="49" spans="1:15">
      <c r="A49" s="1595"/>
      <c r="B49" s="1595" t="s">
        <v>902</v>
      </c>
      <c r="C49" s="1595">
        <v>0</v>
      </c>
      <c r="D49" s="1595">
        <v>0</v>
      </c>
      <c r="E49" s="1595">
        <v>0</v>
      </c>
      <c r="F49" s="1595">
        <v>0</v>
      </c>
      <c r="G49" s="1595">
        <v>0</v>
      </c>
      <c r="H49" s="1595">
        <v>0</v>
      </c>
      <c r="I49" s="1595"/>
      <c r="J49" s="1595"/>
      <c r="K49" s="1595"/>
      <c r="L49" s="1595"/>
      <c r="M49" s="1595"/>
      <c r="N49" s="1595"/>
      <c r="O49" s="1597">
        <f t="shared" si="8"/>
        <v>0</v>
      </c>
    </row>
    <row r="50" spans="1:15">
      <c r="A50" s="1595"/>
      <c r="B50" s="1595" t="s">
        <v>901</v>
      </c>
      <c r="C50" s="1595">
        <v>0</v>
      </c>
      <c r="D50" s="1595">
        <v>0</v>
      </c>
      <c r="E50" s="1595">
        <v>0</v>
      </c>
      <c r="F50" s="1595">
        <v>0</v>
      </c>
      <c r="G50" s="1595">
        <v>0</v>
      </c>
      <c r="H50" s="1595">
        <v>0</v>
      </c>
      <c r="I50" s="1595"/>
      <c r="J50" s="1595"/>
      <c r="K50" s="1595"/>
      <c r="L50" s="1595"/>
      <c r="M50" s="1595"/>
      <c r="N50" s="1595"/>
      <c r="O50" s="1596">
        <f t="shared" si="8"/>
        <v>0</v>
      </c>
    </row>
    <row r="51" spans="1:15">
      <c r="A51" s="1595"/>
      <c r="B51" s="1595" t="s">
        <v>53</v>
      </c>
      <c r="C51" s="1595">
        <v>148900</v>
      </c>
      <c r="D51" s="1595">
        <v>0</v>
      </c>
      <c r="E51" s="1595">
        <v>0</v>
      </c>
      <c r="F51" s="1595">
        <v>0</v>
      </c>
      <c r="G51" s="1595">
        <v>0</v>
      </c>
      <c r="H51" s="1595">
        <v>0</v>
      </c>
      <c r="I51" s="1595"/>
      <c r="J51" s="1595"/>
      <c r="K51" s="1595"/>
      <c r="L51" s="1595">
        <v>23500</v>
      </c>
      <c r="M51" s="1595">
        <v>27077.48</v>
      </c>
      <c r="N51" s="1595">
        <v>90000</v>
      </c>
      <c r="O51" s="1596">
        <f t="shared" si="8"/>
        <v>289477.48</v>
      </c>
    </row>
    <row r="52" spans="1:15">
      <c r="A52" s="1595"/>
      <c r="B52" s="1595" t="s">
        <v>893</v>
      </c>
      <c r="C52" s="1595">
        <v>0</v>
      </c>
      <c r="D52" s="1595">
        <v>0</v>
      </c>
      <c r="E52" s="1595">
        <v>0</v>
      </c>
      <c r="F52" s="1595">
        <v>0</v>
      </c>
      <c r="G52" s="1595">
        <v>23690</v>
      </c>
      <c r="H52" s="1595">
        <v>14000</v>
      </c>
      <c r="I52" s="1595"/>
      <c r="J52" s="1595"/>
      <c r="K52" s="1595">
        <v>473414.35</v>
      </c>
      <c r="L52" s="1595">
        <v>212775.04000000001</v>
      </c>
      <c r="M52" s="1595">
        <v>735624.98</v>
      </c>
      <c r="N52" s="1595">
        <v>235618.48</v>
      </c>
      <c r="O52" s="1596">
        <f t="shared" si="8"/>
        <v>1695122.85</v>
      </c>
    </row>
    <row r="53" spans="1:15">
      <c r="A53" s="1595"/>
      <c r="B53" s="1595" t="s">
        <v>892</v>
      </c>
      <c r="C53" s="1595">
        <v>0</v>
      </c>
      <c r="D53" s="1595">
        <v>0</v>
      </c>
      <c r="E53" s="1595">
        <v>0</v>
      </c>
      <c r="F53" s="1595"/>
      <c r="G53" s="1595"/>
      <c r="H53" s="1595"/>
      <c r="I53" s="1595"/>
      <c r="J53" s="1595"/>
      <c r="K53" s="1595">
        <v>60</v>
      </c>
      <c r="L53" s="1595"/>
      <c r="M53" s="1595"/>
      <c r="N53" s="1595" t="s">
        <v>898</v>
      </c>
      <c r="O53" s="1596"/>
    </row>
    <row r="54" spans="1:15">
      <c r="A54" s="1595"/>
      <c r="B54" s="1595" t="s">
        <v>889</v>
      </c>
      <c r="C54" s="1593">
        <f>SUM(C44:C53)</f>
        <v>808900</v>
      </c>
      <c r="D54" s="1593">
        <f>SUM(D44:D53)</f>
        <v>0</v>
      </c>
      <c r="E54" s="1593">
        <f>SUM(E44:E53)</f>
        <v>67000</v>
      </c>
      <c r="F54" s="1593">
        <f>SUM(F44:F52)</f>
        <v>618338</v>
      </c>
      <c r="G54" s="1593">
        <f>SUM(G44:G52)</f>
        <v>34690</v>
      </c>
      <c r="H54" s="1593">
        <f>SUM(H44:H52)</f>
        <v>93500</v>
      </c>
      <c r="I54" s="1593">
        <f>SUM(I44:I52)</f>
        <v>0</v>
      </c>
      <c r="J54" s="1593">
        <f>SUM(J44:J52)</f>
        <v>0</v>
      </c>
      <c r="K54" s="1593">
        <f>SUM(K44:K53)</f>
        <v>488974.35</v>
      </c>
      <c r="L54" s="1593">
        <f>SUM(L44:L52)</f>
        <v>283775.04000000004</v>
      </c>
      <c r="M54" s="1593">
        <f>SUM(M44:M52)</f>
        <v>809452.46</v>
      </c>
      <c r="N54" s="1593">
        <f>SUM(N44:N52)</f>
        <v>544618.48</v>
      </c>
      <c r="O54" s="1598">
        <f>SUM(C54:N54)</f>
        <v>3749248.33</v>
      </c>
    </row>
    <row r="55" spans="1:15">
      <c r="A55" s="1595"/>
      <c r="B55" s="1595"/>
      <c r="C55" s="1595"/>
      <c r="D55" s="1595"/>
      <c r="E55" s="1595"/>
      <c r="F55" s="1595"/>
      <c r="G55" s="1595"/>
      <c r="H55" s="1595"/>
      <c r="I55" s="1595"/>
      <c r="J55" s="1595"/>
      <c r="K55" s="1595"/>
      <c r="L55" s="1595"/>
      <c r="M55" s="1595"/>
      <c r="N55" s="1595"/>
      <c r="O55" s="1594"/>
    </row>
    <row r="56" spans="1:15">
      <c r="A56" s="1595"/>
      <c r="B56" s="1595"/>
      <c r="C56" s="1595"/>
      <c r="D56" s="1595"/>
      <c r="E56" s="1595"/>
      <c r="F56" s="1595"/>
      <c r="G56" s="1595"/>
      <c r="H56" s="1595"/>
      <c r="I56" s="1595"/>
      <c r="J56" s="1595"/>
      <c r="K56" s="1595"/>
      <c r="L56" s="1595"/>
      <c r="M56" s="1595"/>
      <c r="N56" s="1595"/>
      <c r="O56" s="1594"/>
    </row>
    <row r="57" spans="1:15">
      <c r="A57" s="1595" t="s">
        <v>900</v>
      </c>
      <c r="B57" s="1595" t="s">
        <v>899</v>
      </c>
      <c r="C57" s="1595">
        <v>0</v>
      </c>
      <c r="D57" s="1595">
        <v>45080</v>
      </c>
      <c r="E57" s="1595">
        <v>46160</v>
      </c>
      <c r="F57" s="1595">
        <v>43180</v>
      </c>
      <c r="G57" s="1595">
        <v>104615</v>
      </c>
      <c r="H57" s="1595" t="s">
        <v>898</v>
      </c>
      <c r="I57" s="1595">
        <v>65890</v>
      </c>
      <c r="J57" s="1595">
        <v>15345</v>
      </c>
      <c r="K57" s="1595">
        <v>66590</v>
      </c>
      <c r="L57" s="1595">
        <v>164230</v>
      </c>
      <c r="M57" s="1595">
        <v>52120</v>
      </c>
      <c r="N57" s="1595">
        <v>46530</v>
      </c>
      <c r="O57" s="1596">
        <f t="shared" ref="O57:O67" si="9">SUM(C57:N57)</f>
        <v>649740</v>
      </c>
    </row>
    <row r="58" spans="1:15">
      <c r="A58" s="1595"/>
      <c r="B58" s="1595" t="s">
        <v>897</v>
      </c>
      <c r="C58" s="1595">
        <v>72450</v>
      </c>
      <c r="D58" s="1595">
        <v>12000</v>
      </c>
      <c r="E58" s="1595">
        <v>0</v>
      </c>
      <c r="F58" s="1595">
        <v>1400</v>
      </c>
      <c r="G58" s="1595">
        <v>30400</v>
      </c>
      <c r="H58" s="1595">
        <v>0</v>
      </c>
      <c r="I58" s="1595">
        <v>0</v>
      </c>
      <c r="J58" s="1595">
        <v>0</v>
      </c>
      <c r="K58" s="1595">
        <v>0</v>
      </c>
      <c r="L58" s="1595">
        <v>0</v>
      </c>
      <c r="M58" s="1595">
        <v>0</v>
      </c>
      <c r="N58" s="1595">
        <v>0</v>
      </c>
      <c r="O58" s="1596">
        <f t="shared" si="9"/>
        <v>116250</v>
      </c>
    </row>
    <row r="59" spans="1:15">
      <c r="A59" s="1595"/>
      <c r="B59" s="1595" t="s">
        <v>896</v>
      </c>
      <c r="C59" s="1595">
        <v>4457927.03</v>
      </c>
      <c r="D59" s="1595">
        <v>5652804</v>
      </c>
      <c r="E59" s="1595">
        <v>5626133</v>
      </c>
      <c r="F59" s="1595">
        <v>0</v>
      </c>
      <c r="G59" s="1595">
        <v>16317371</v>
      </c>
      <c r="H59" s="1595">
        <v>11684460.18</v>
      </c>
      <c r="I59" s="1595">
        <v>7750310.1200000001</v>
      </c>
      <c r="J59" s="1595">
        <v>0</v>
      </c>
      <c r="K59" s="1595">
        <v>5212163</v>
      </c>
      <c r="L59" s="1595">
        <v>9777834.6500000004</v>
      </c>
      <c r="M59" s="1595">
        <v>0</v>
      </c>
      <c r="N59" s="1595">
        <v>7662388.6799999997</v>
      </c>
      <c r="O59" s="1596">
        <f t="shared" si="9"/>
        <v>74141391.659999996</v>
      </c>
    </row>
    <row r="60" spans="1:15">
      <c r="A60" s="1595"/>
      <c r="B60" s="1595" t="s">
        <v>895</v>
      </c>
      <c r="C60" s="1595">
        <v>602336.28</v>
      </c>
      <c r="D60" s="1595">
        <v>3000</v>
      </c>
      <c r="E60" s="1595">
        <v>433270</v>
      </c>
      <c r="F60" s="1595">
        <v>534000</v>
      </c>
      <c r="G60" s="1595">
        <v>99738</v>
      </c>
      <c r="H60" s="1595">
        <v>741216.78</v>
      </c>
      <c r="I60" s="1595">
        <v>790965.29</v>
      </c>
      <c r="J60" s="1595">
        <v>12500</v>
      </c>
      <c r="K60" s="1595">
        <v>239540</v>
      </c>
      <c r="L60" s="1595">
        <v>19740</v>
      </c>
      <c r="M60" s="1595" t="s">
        <v>104</v>
      </c>
      <c r="N60" s="1595">
        <v>13600</v>
      </c>
      <c r="O60" s="1596">
        <f t="shared" si="9"/>
        <v>3489906.35</v>
      </c>
    </row>
    <row r="61" spans="1:15">
      <c r="A61" s="1595"/>
      <c r="B61" s="1595" t="s">
        <v>894</v>
      </c>
      <c r="C61" s="1595">
        <v>15000</v>
      </c>
      <c r="D61" s="1595">
        <v>11000</v>
      </c>
      <c r="E61" s="1595">
        <v>0</v>
      </c>
      <c r="F61" s="1595">
        <v>0</v>
      </c>
      <c r="G61" s="1595">
        <v>18150</v>
      </c>
      <c r="H61" s="1595">
        <v>0</v>
      </c>
      <c r="I61" s="1595">
        <v>0</v>
      </c>
      <c r="J61" s="1595">
        <v>0</v>
      </c>
      <c r="K61" s="1595">
        <v>8900</v>
      </c>
      <c r="L61" s="1595">
        <v>0</v>
      </c>
      <c r="M61" s="1595">
        <v>0</v>
      </c>
      <c r="N61" s="1595">
        <v>0</v>
      </c>
      <c r="O61" s="1596">
        <f t="shared" si="9"/>
        <v>53050</v>
      </c>
    </row>
    <row r="62" spans="1:15">
      <c r="A62" s="1595"/>
      <c r="B62" s="1595" t="s">
        <v>53</v>
      </c>
      <c r="C62" s="1595">
        <v>588600</v>
      </c>
      <c r="D62" s="1595">
        <v>1999500</v>
      </c>
      <c r="E62" s="1595">
        <v>2928000</v>
      </c>
      <c r="F62" s="1595" t="s">
        <v>104</v>
      </c>
      <c r="G62" s="1595">
        <v>2501214</v>
      </c>
      <c r="H62" s="1595">
        <v>660000</v>
      </c>
      <c r="I62" s="1595">
        <v>747850</v>
      </c>
      <c r="J62" s="1595">
        <v>63000</v>
      </c>
      <c r="K62" s="1595">
        <v>241140</v>
      </c>
      <c r="L62" s="1595">
        <v>268700</v>
      </c>
      <c r="M62" s="1595">
        <v>464800</v>
      </c>
      <c r="N62" s="1595">
        <v>276000</v>
      </c>
      <c r="O62" s="1596">
        <f t="shared" si="9"/>
        <v>10738804</v>
      </c>
    </row>
    <row r="63" spans="1:15">
      <c r="A63" s="1595"/>
      <c r="B63" s="1595" t="s">
        <v>893</v>
      </c>
      <c r="C63" s="1595">
        <v>7245771</v>
      </c>
      <c r="D63" s="1595">
        <v>16423786</v>
      </c>
      <c r="E63" s="1595">
        <v>6936600</v>
      </c>
      <c r="F63" s="1595">
        <v>18381052</v>
      </c>
      <c r="G63" s="1595">
        <v>22585530</v>
      </c>
      <c r="H63" s="1595">
        <v>20377939</v>
      </c>
      <c r="I63" s="1595">
        <v>23075652.800000001</v>
      </c>
      <c r="J63" s="1595">
        <v>11947508</v>
      </c>
      <c r="K63" s="1595">
        <v>19658063</v>
      </c>
      <c r="L63" s="1595">
        <v>15930779</v>
      </c>
      <c r="M63" s="1595">
        <v>14743907.9</v>
      </c>
      <c r="N63" s="1595">
        <v>19129342</v>
      </c>
      <c r="O63" s="1596">
        <f t="shared" si="9"/>
        <v>196435930.70000002</v>
      </c>
    </row>
    <row r="64" spans="1:15">
      <c r="A64" s="1595"/>
      <c r="B64" s="1595" t="s">
        <v>892</v>
      </c>
      <c r="C64" s="1595">
        <v>1950</v>
      </c>
      <c r="D64" s="1595">
        <v>187875</v>
      </c>
      <c r="E64" s="1595">
        <v>453050</v>
      </c>
      <c r="F64" s="1595">
        <v>1009325</v>
      </c>
      <c r="G64" s="1595">
        <v>771850</v>
      </c>
      <c r="H64" s="1595">
        <v>70125</v>
      </c>
      <c r="I64" s="1595">
        <v>0</v>
      </c>
      <c r="J64" s="1595">
        <v>56425</v>
      </c>
      <c r="K64" s="1595">
        <v>60503</v>
      </c>
      <c r="L64" s="1595">
        <v>3823300</v>
      </c>
      <c r="M64" s="1595">
        <v>36350</v>
      </c>
      <c r="N64" s="1595">
        <v>1925</v>
      </c>
      <c r="O64" s="1596">
        <f t="shared" si="9"/>
        <v>6472678</v>
      </c>
    </row>
    <row r="65" spans="1:15">
      <c r="A65" s="1595"/>
      <c r="B65" s="1595" t="s">
        <v>891</v>
      </c>
      <c r="C65" s="1595">
        <v>31230</v>
      </c>
      <c r="D65" s="1595">
        <v>0</v>
      </c>
      <c r="E65" s="1595">
        <v>0</v>
      </c>
      <c r="F65" s="1595">
        <v>0</v>
      </c>
      <c r="G65" s="1595">
        <v>0</v>
      </c>
      <c r="H65" s="1595">
        <v>28485</v>
      </c>
      <c r="I65" s="1595">
        <v>0</v>
      </c>
      <c r="J65" s="1595">
        <v>0</v>
      </c>
      <c r="K65" s="1595">
        <v>0</v>
      </c>
      <c r="L65" s="1595">
        <v>0</v>
      </c>
      <c r="M65" s="1595">
        <v>0</v>
      </c>
      <c r="N65" s="1595">
        <v>0</v>
      </c>
      <c r="O65" s="1596">
        <f t="shared" si="9"/>
        <v>59715</v>
      </c>
    </row>
    <row r="66" spans="1:15">
      <c r="A66" s="1595"/>
      <c r="B66" s="1595" t="s">
        <v>890</v>
      </c>
      <c r="C66" s="1595">
        <v>1020449</v>
      </c>
      <c r="D66" s="1595">
        <v>4293432</v>
      </c>
      <c r="E66" s="1595">
        <v>0</v>
      </c>
      <c r="F66" s="1595">
        <v>751850</v>
      </c>
      <c r="G66" s="1595">
        <v>3124969</v>
      </c>
      <c r="H66" s="1595">
        <v>1607600</v>
      </c>
      <c r="I66" s="1595">
        <v>1695400</v>
      </c>
      <c r="J66" s="1595">
        <v>910550</v>
      </c>
      <c r="K66" s="1595" t="s">
        <v>104</v>
      </c>
      <c r="L66" s="1595">
        <v>3748250</v>
      </c>
      <c r="M66" s="1595">
        <v>2612100</v>
      </c>
      <c r="N66" s="1595">
        <v>2247240</v>
      </c>
      <c r="O66" s="1596">
        <f t="shared" si="9"/>
        <v>22011840</v>
      </c>
    </row>
    <row r="67" spans="1:15">
      <c r="A67" s="1595"/>
      <c r="B67" s="1595" t="s">
        <v>889</v>
      </c>
      <c r="C67" s="1593">
        <f t="shared" ref="C67:N67" si="10">SUM(C57:C66)</f>
        <v>14035713.310000001</v>
      </c>
      <c r="D67" s="1593">
        <f t="shared" si="10"/>
        <v>28628477</v>
      </c>
      <c r="E67" s="1593">
        <f t="shared" si="10"/>
        <v>16423213</v>
      </c>
      <c r="F67" s="1593">
        <f t="shared" si="10"/>
        <v>20720807</v>
      </c>
      <c r="G67" s="1593">
        <f t="shared" si="10"/>
        <v>45553837</v>
      </c>
      <c r="H67" s="1593">
        <f t="shared" si="10"/>
        <v>35169825.960000001</v>
      </c>
      <c r="I67" s="1593">
        <f t="shared" si="10"/>
        <v>34126068.210000001</v>
      </c>
      <c r="J67" s="1593">
        <f t="shared" si="10"/>
        <v>13005328</v>
      </c>
      <c r="K67" s="1593">
        <f t="shared" si="10"/>
        <v>25486899</v>
      </c>
      <c r="L67" s="1593">
        <f t="shared" si="10"/>
        <v>33732833.649999999</v>
      </c>
      <c r="M67" s="1593">
        <f t="shared" si="10"/>
        <v>17909277.899999999</v>
      </c>
      <c r="N67" s="1593">
        <f t="shared" si="10"/>
        <v>29377025.68</v>
      </c>
      <c r="O67" s="1598">
        <f t="shared" si="9"/>
        <v>314169305.71000004</v>
      </c>
    </row>
    <row r="68" spans="1:15">
      <c r="A68" s="1595"/>
      <c r="B68" s="1595"/>
      <c r="C68" s="1595"/>
      <c r="D68" s="1595"/>
      <c r="E68" s="1593"/>
      <c r="F68" s="1593"/>
      <c r="G68" s="1593"/>
      <c r="H68" s="1593"/>
      <c r="I68" s="1595"/>
      <c r="J68" s="1595"/>
      <c r="K68" s="1595"/>
      <c r="L68" s="1595"/>
      <c r="M68" s="1595"/>
      <c r="N68" s="1595"/>
      <c r="O68" s="1594"/>
    </row>
    <row r="69" spans="1:15">
      <c r="A69" s="1595"/>
      <c r="B69" s="1593" t="s">
        <v>888</v>
      </c>
      <c r="C69" s="1593">
        <f t="shared" ref="C69:N69" si="11">C67+C54+C41+C31+C22+C11+C8</f>
        <v>17286432.950000003</v>
      </c>
      <c r="D69" s="1593">
        <f t="shared" si="11"/>
        <v>33138027</v>
      </c>
      <c r="E69" s="1593">
        <f t="shared" si="11"/>
        <v>23593048</v>
      </c>
      <c r="F69" s="1593">
        <f t="shared" si="11"/>
        <v>27151225.32</v>
      </c>
      <c r="G69" s="1593">
        <f t="shared" si="11"/>
        <v>48696144.5</v>
      </c>
      <c r="H69" s="1593">
        <f t="shared" si="11"/>
        <v>38273942.960000001</v>
      </c>
      <c r="I69" s="1593">
        <f t="shared" si="11"/>
        <v>36226931.300000004</v>
      </c>
      <c r="J69" s="1593">
        <f t="shared" si="11"/>
        <v>21557558</v>
      </c>
      <c r="K69" s="1593">
        <f t="shared" si="11"/>
        <v>28858185.850000001</v>
      </c>
      <c r="L69" s="1593">
        <f t="shared" si="11"/>
        <v>36771508.689999998</v>
      </c>
      <c r="M69" s="1593">
        <f t="shared" si="11"/>
        <v>20867107.859999999</v>
      </c>
      <c r="N69" s="1593">
        <f t="shared" si="11"/>
        <v>40371041.840000004</v>
      </c>
      <c r="O69" s="1598">
        <f>SUM(C69:N69)</f>
        <v>372791154.2700001</v>
      </c>
    </row>
    <row r="70" spans="1:15">
      <c r="A70" s="1600"/>
      <c r="B70" s="1600" t="s">
        <v>887</v>
      </c>
      <c r="C70" s="1600"/>
      <c r="D70" s="1600"/>
      <c r="E70" s="1601">
        <f>C69+D69+E69</f>
        <v>74017507.950000003</v>
      </c>
      <c r="F70" s="1602"/>
      <c r="G70" s="1600"/>
      <c r="H70" s="1601">
        <f>F69+G69+H69</f>
        <v>114121312.78</v>
      </c>
      <c r="I70" s="1600"/>
      <c r="J70" s="1600"/>
      <c r="K70" s="1602">
        <f>I69+J69+K69</f>
        <v>86642675.150000006</v>
      </c>
      <c r="L70" s="1600"/>
      <c r="M70" s="1600"/>
      <c r="N70" s="1603">
        <f>L69+M69+N69</f>
        <v>98009658.390000001</v>
      </c>
      <c r="O70" s="1598">
        <f>SUM(C70:N70)</f>
        <v>372791154.26999998</v>
      </c>
    </row>
    <row r="71" spans="1:15">
      <c r="A71" s="1176"/>
      <c r="B71" s="1176"/>
      <c r="C71" s="1176"/>
      <c r="D71" s="1176"/>
      <c r="E71" s="1176"/>
      <c r="F71" s="1176"/>
      <c r="G71" s="1176"/>
      <c r="H71" s="1176"/>
      <c r="I71" s="1176"/>
      <c r="J71" s="1176"/>
      <c r="K71" s="1176"/>
      <c r="L71" s="1176"/>
      <c r="M71" s="1176"/>
      <c r="N71" s="1176"/>
      <c r="O71" s="1176"/>
    </row>
    <row r="75" spans="1:15" ht="18.75">
      <c r="C75" s="394"/>
    </row>
    <row r="76" spans="1:15">
      <c r="H76" s="393"/>
    </row>
  </sheetData>
  <mergeCells count="1">
    <mergeCell ref="S9:V11"/>
  </mergeCells>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27</vt:i4>
      </vt:variant>
    </vt:vector>
  </HeadingPairs>
  <TitlesOfParts>
    <vt:vector size="64" baseType="lpstr">
      <vt:lpstr>READ THIS FIRST</vt:lpstr>
      <vt:lpstr>GDP</vt:lpstr>
      <vt:lpstr>Total Economic Value</vt:lpstr>
      <vt:lpstr>Forest sustainability balance</vt:lpstr>
      <vt:lpstr>Livelihoods</vt:lpstr>
      <vt:lpstr>National Accounts</vt:lpstr>
      <vt:lpstr>Acctg for plantations</vt:lpstr>
      <vt:lpstr>DoF Revenue summary</vt:lpstr>
      <vt:lpstr>DoF Revenue 2010-2011</vt:lpstr>
      <vt:lpstr>DoF Plantation production</vt:lpstr>
      <vt:lpstr>Forest businesses</vt:lpstr>
      <vt:lpstr>Watershed costs</vt:lpstr>
      <vt:lpstr>Hhold wood use for energy</vt:lpstr>
      <vt:lpstr>Fuelwood IHS tables</vt:lpstr>
      <vt:lpstr>Household fuelwood parameters</vt:lpstr>
      <vt:lpstr>Sources of gathered wood</vt:lpstr>
      <vt:lpstr>Other gathered products</vt:lpstr>
      <vt:lpstr>Charcoal quantity</vt:lpstr>
      <vt:lpstr>Charcoal expenditure IHS data</vt:lpstr>
      <vt:lpstr>Institutional-Indus. wood use</vt:lpstr>
      <vt:lpstr>Number of bricks</vt:lpstr>
      <vt:lpstr>Brick house age IHS data</vt:lpstr>
      <vt:lpstr>Tobacco curing</vt:lpstr>
      <vt:lpstr>DoF Personnel &amp; OC</vt:lpstr>
      <vt:lpstr>DoF Personnel Details</vt:lpstr>
      <vt:lpstr>Employment- hhold businesses</vt:lpstr>
      <vt:lpstr>Employment-Openshaw study</vt:lpstr>
      <vt:lpstr>Annual economic survey</vt:lpstr>
      <vt:lpstr>Tourism Data</vt:lpstr>
      <vt:lpstr>Protected Area Visitors</vt:lpstr>
      <vt:lpstr>Liwonde NP</vt:lpstr>
      <vt:lpstr>Lake Malawi</vt:lpstr>
      <vt:lpstr>Lengwe</vt:lpstr>
      <vt:lpstr>Nyika</vt:lpstr>
      <vt:lpstr>population parameters</vt:lpstr>
      <vt:lpstr>Exchange Rates</vt:lpstr>
      <vt:lpstr>References</vt:lpstr>
      <vt:lpstr>charcoalvol_hhold_year</vt:lpstr>
      <vt:lpstr>hh_wood_exp_M</vt:lpstr>
      <vt:lpstr>hh_wood_exp_Mmainfuel</vt:lpstr>
      <vt:lpstr>hh_wood_exp_Mnotmain</vt:lpstr>
      <vt:lpstr>hh_wood_exp_N</vt:lpstr>
      <vt:lpstr>'Fuelwood IHS tables'!hhsize</vt:lpstr>
      <vt:lpstr>hhsize</vt:lpstr>
      <vt:lpstr>'Fuelwood IHS tables'!hhsize_c</vt:lpstr>
      <vt:lpstr>hhsize_c</vt:lpstr>
      <vt:lpstr>'Fuelwood IHS tables'!hhsize_n</vt:lpstr>
      <vt:lpstr>hhsize_n</vt:lpstr>
      <vt:lpstr>'Fuelwood IHS tables'!hhsize_s</vt:lpstr>
      <vt:lpstr>hhsize_s</vt:lpstr>
      <vt:lpstr>kg_per_m3_wood</vt:lpstr>
      <vt:lpstr>price_fuelwood_kg</vt:lpstr>
      <vt:lpstr>value_fuelwood_perhhold</vt:lpstr>
      <vt:lpstr>'Fuelwood IHS tables'!weight_headload</vt:lpstr>
      <vt:lpstr>weight_headload</vt:lpstr>
      <vt:lpstr>'Fuelwood IHS tables'!woodvol_hhold_year</vt:lpstr>
      <vt:lpstr>woodvol_hhold_year</vt:lpstr>
      <vt:lpstr>woodwgt_hhold_year</vt:lpstr>
      <vt:lpstr>'Fuelwood IHS tables'!xr_2010</vt:lpstr>
      <vt:lpstr>xr_2010</vt:lpstr>
      <vt:lpstr>'Fuelwood IHS tables'!XR_2011</vt:lpstr>
      <vt:lpstr>XR_2011</vt:lpstr>
      <vt:lpstr>'Fuelwood IHS tables'!xr_2012</vt:lpstr>
      <vt:lpstr>xr_2012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dc:creator>
  <cp:lastModifiedBy>Eve Garrity</cp:lastModifiedBy>
  <cp:lastPrinted>2013-03-14T14:38:44Z</cp:lastPrinted>
  <dcterms:created xsi:type="dcterms:W3CDTF">2013-02-08T07:45:05Z</dcterms:created>
  <dcterms:modified xsi:type="dcterms:W3CDTF">2013-03-14T14:41:27Z</dcterms:modified>
</cp:coreProperties>
</file>